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7" activeTab="0"/>
  </bookViews>
  <sheets>
    <sheet name="0" sheetId="1" r:id="rId1"/>
    <sheet name="Alaska" sheetId="2" r:id="rId2"/>
    <sheet name="WP&amp;Y" sheetId="3" r:id="rId3"/>
  </sheets>
  <definedNames/>
  <calcPr fullCalcOnLoad="1"/>
</workbook>
</file>

<file path=xl/sharedStrings.xml><?xml version="1.0" encoding="utf-8"?>
<sst xmlns="http://schemas.openxmlformats.org/spreadsheetml/2006/main" count="906" uniqueCount="250">
  <si>
    <t>Nr</t>
  </si>
  <si>
    <t>route</t>
  </si>
  <si>
    <t>km</t>
  </si>
  <si>
    <t>travel time</t>
  </si>
  <si>
    <t>without stops</t>
  </si>
  <si>
    <t>name</t>
  </si>
  <si>
    <t>runs</t>
  </si>
  <si>
    <t>services</t>
  </si>
  <si>
    <t>average speed</t>
  </si>
  <si>
    <t>direction</t>
  </si>
  <si>
    <t>season</t>
  </si>
  <si>
    <t>operator</t>
  </si>
  <si>
    <t>trips/week</t>
  </si>
  <si>
    <t>km/week</t>
  </si>
  <si>
    <t>speed limit</t>
  </si>
  <si>
    <t>Fare</t>
  </si>
  <si>
    <t>Dome class Fare</t>
  </si>
  <si>
    <t>Peak Fare</t>
  </si>
  <si>
    <t>Peak Dome class Fare</t>
  </si>
  <si>
    <t>Skagway – Carcross</t>
  </si>
  <si>
    <t>Carcross</t>
  </si>
  <si>
    <t>Tu-Fr 26.5-5.9</t>
  </si>
  <si>
    <t>northbound</t>
  </si>
  <si>
    <t>Summer</t>
  </si>
  <si>
    <t>White Pass &amp; Yukon Railroad</t>
  </si>
  <si>
    <t>40 km/h</t>
  </si>
  <si>
    <t>Carcross – Skagway</t>
  </si>
  <si>
    <t>Sa 26.5-5.9</t>
  </si>
  <si>
    <t>southbound</t>
  </si>
  <si>
    <t>Skagway – Fraser</t>
  </si>
  <si>
    <t>Fraser</t>
  </si>
  <si>
    <t>5.5-24.9</t>
  </si>
  <si>
    <t>XS</t>
  </si>
  <si>
    <t>Fraser – Skagway</t>
  </si>
  <si>
    <t>Skagway – White Pass</t>
  </si>
  <si>
    <t>Summit</t>
  </si>
  <si>
    <t>White Pass – Skagway</t>
  </si>
  <si>
    <t>Tu, We 26.5-2.9</t>
  </si>
  <si>
    <t>WX</t>
  </si>
  <si>
    <t>Steam</t>
  </si>
  <si>
    <t>Th, Fr 22.5-14.9</t>
  </si>
  <si>
    <t>Anchorage – Seward</t>
  </si>
  <si>
    <t xml:space="preserve">Coastal Classic </t>
  </si>
  <si>
    <t>9.5-13.9</t>
  </si>
  <si>
    <t>Dome WR D XS</t>
  </si>
  <si>
    <t>Alaska Railroad</t>
  </si>
  <si>
    <t>79 km/h</t>
  </si>
  <si>
    <t>Seward – Anchorage</t>
  </si>
  <si>
    <t>Anchorage – Fairbanks</t>
  </si>
  <si>
    <t>Denali Star</t>
  </si>
  <si>
    <t>13.5-12.9</t>
  </si>
  <si>
    <t>Fairbanks – Anchorage</t>
  </si>
  <si>
    <t>14.5-13.9</t>
  </si>
  <si>
    <t>Anchorage – Denali</t>
  </si>
  <si>
    <t>McKinley Explorer</t>
  </si>
  <si>
    <t>13.5-16.9</t>
  </si>
  <si>
    <t>Dome WR</t>
  </si>
  <si>
    <t>Holland America Line</t>
  </si>
  <si>
    <t>Denali – Anchorage</t>
  </si>
  <si>
    <t>15.5-17.9</t>
  </si>
  <si>
    <t>Anchorage – Grandview</t>
  </si>
  <si>
    <t>Glacier Discovery</t>
  </si>
  <si>
    <t>1.6-14.9</t>
  </si>
  <si>
    <t>WR D XS</t>
  </si>
  <si>
    <t>to Whittier</t>
  </si>
  <si>
    <t>Grandview – Anchorage</t>
  </si>
  <si>
    <t>to Grandview</t>
  </si>
  <si>
    <t>Talkeetna – Hurricane</t>
  </si>
  <si>
    <t>Hurricane Turn</t>
  </si>
  <si>
    <t>15.5-14.9 Th-Su</t>
  </si>
  <si>
    <t>Railcar D</t>
  </si>
  <si>
    <t>Hurricane – Talkeetna</t>
  </si>
  <si>
    <t>Aurora Winter Train</t>
  </si>
  <si>
    <t>Sa 20.9-10.5</t>
  </si>
  <si>
    <t>Winter</t>
  </si>
  <si>
    <t>Su 20.9-10.5</t>
  </si>
  <si>
    <t>Anchorage – Hurricane</t>
  </si>
  <si>
    <t>Winter Hurricane</t>
  </si>
  <si>
    <t>1st Th/month 20.9-10.5</t>
  </si>
  <si>
    <t>roundtrip</t>
  </si>
  <si>
    <t>Hurricane – Anchorage</t>
  </si>
  <si>
    <t>peak season = 1.6-31.8</t>
  </si>
  <si>
    <t>trips/week %</t>
  </si>
  <si>
    <t>km/week %</t>
  </si>
  <si>
    <t>Train numbering nomenclature</t>
  </si>
  <si>
    <t>odd</t>
  </si>
  <si>
    <t>down from Fairbanks</t>
  </si>
  <si>
    <t>Alaska+WP&amp;Y RR</t>
  </si>
  <si>
    <t>even</t>
  </si>
  <si>
    <t>up to Fairbanks</t>
  </si>
  <si>
    <t>down from Skagway</t>
  </si>
  <si>
    <t>up to Skagway</t>
  </si>
  <si>
    <t>Wilderness Express</t>
  </si>
  <si>
    <t>This dome car service is provided by the following cruise operators: Royal Caribbean &amp; Celebrity Cruises</t>
  </si>
  <si>
    <t xml:space="preserve">The Wilderness Express operates on the Alaska Railroad’s Denali Star route that offers daily summer service to Anchorage, Talkeetna, Denali National Park and Fairbanks. </t>
  </si>
  <si>
    <t xml:space="preserve">They are usually the last two cars on the train in each direction, following the same schedule as the Denali Star route. </t>
  </si>
  <si>
    <t>Wilderness Express fares typically fall in between the Alaska Railroad’s Adventure Class and GoldStar Service making them an exceptional value.</t>
  </si>
  <si>
    <t xml:space="preserve"> </t>
  </si>
  <si>
    <t>This dome car service is provided by the following cruise operators: Princess Cruisetours &amp; Holland America Cruisetours</t>
  </si>
  <si>
    <t xml:space="preserve">One of the most unique things about the McKinley Explorer is its schedule. Although service is offered to Anchorage, Talkeetna and Denali Park, it is a separate train from the Alaska Railroad’s Denali Star, and operates on a different schedule. </t>
  </si>
  <si>
    <t xml:space="preserve">Depending on your travel plans, you may find the McKinley Explorer’s later departure time from Anchorage or earlier arrival time into Anchorage a convenient option. </t>
  </si>
  <si>
    <t>Please keep in mind that the McKinley Explorer does not offer service north of Denali Park to Fairbanks.</t>
  </si>
  <si>
    <t>km-code</t>
  </si>
  <si>
    <t>Line</t>
  </si>
  <si>
    <t>subdivision</t>
  </si>
  <si>
    <t>Method of operation</t>
  </si>
  <si>
    <t>type</t>
  </si>
  <si>
    <t>remarks</t>
  </si>
  <si>
    <t>Seward</t>
  </si>
  <si>
    <t>Two-way Radio</t>
  </si>
  <si>
    <t>Main</t>
  </si>
  <si>
    <t>ARR</t>
  </si>
  <si>
    <t>Anchorage south yard lead (80 m) Central Traffic Control (CTC)</t>
  </si>
  <si>
    <t>J</t>
  </si>
  <si>
    <t>Airport Jct. – Anchorage Airport</t>
  </si>
  <si>
    <t>Rule 6.28</t>
  </si>
  <si>
    <t>Branch</t>
  </si>
  <si>
    <t>last 2 km 25 km/h</t>
  </si>
  <si>
    <t>F</t>
  </si>
  <si>
    <t>Whittier – Portage</t>
  </si>
  <si>
    <t>Whittier</t>
  </si>
  <si>
    <t>Whittier – Whittier Tunnel, first 2 km 15 km/h; otherwise 30 km/h; Whittier Tunnel: CTC, Northbound 30 km/h; southbound 40 km/h; Portage Tunnel speed limit 40 km/h; north of tunnels 79 km/h</t>
  </si>
  <si>
    <t>Anchorage</t>
  </si>
  <si>
    <t>Anchorage north yard lead, Reves, Palmer Junction, Pittman, Hurricane CTC</t>
  </si>
  <si>
    <t>A</t>
  </si>
  <si>
    <t>Palmer Jct. – Palmer</t>
  </si>
  <si>
    <t>15 km/h</t>
  </si>
  <si>
    <t>(B)</t>
  </si>
  <si>
    <t>Houston – Port MacKenzie</t>
  </si>
  <si>
    <t>under construction</t>
  </si>
  <si>
    <t>D</t>
  </si>
  <si>
    <t>Healy – Usibelli Tipple</t>
  </si>
  <si>
    <t>Rules 6.12+6.28</t>
  </si>
  <si>
    <t>excepted track (Rule 6.12)</t>
  </si>
  <si>
    <t>H</t>
  </si>
  <si>
    <t>Fairbanks – Fairbanks Airport</t>
  </si>
  <si>
    <t>G</t>
  </si>
  <si>
    <t>Fairbanks – Eielson</t>
  </si>
  <si>
    <t>30 km/h</t>
  </si>
  <si>
    <t>(G)</t>
  </si>
  <si>
    <t>Eielson – Delta Jct.</t>
  </si>
  <si>
    <t>USA</t>
  </si>
  <si>
    <t>WP&amp;YRR</t>
  </si>
  <si>
    <t>White Pass – Carcross</t>
  </si>
  <si>
    <t>Canada</t>
  </si>
  <si>
    <t>steam limited to 30 km/h; Fraser – Carcross limited to 30 km/h</t>
  </si>
  <si>
    <t>Carcross – Whitehorse</t>
  </si>
  <si>
    <t>disused</t>
  </si>
  <si>
    <t>Rule 6.28 = movements at restricted speed allow stopping within half the range of vision short of train, engine, railroad car, man/equipment fouling the track, stop signal or derail or switch improperly lined</t>
  </si>
  <si>
    <t>Rule 6.12 = Excepted track according Federal Railroad Administration (FRA): Maximum speed 15 km/h; No revenue passenger trains; maximum of five cars for trains who carries Hazardous Materials</t>
  </si>
  <si>
    <t>km from Anchorage</t>
  </si>
  <si>
    <t>structure</t>
  </si>
  <si>
    <t xml:space="preserve">MP 146.4 </t>
  </si>
  <si>
    <t>Knik River Bridge</t>
  </si>
  <si>
    <t>50 km/h</t>
  </si>
  <si>
    <t>Alaska rail trackage</t>
  </si>
  <si>
    <t xml:space="preserve">MP 284.2 </t>
  </si>
  <si>
    <t xml:space="preserve">Hurricane Gulch Bridge </t>
  </si>
  <si>
    <t xml:space="preserve">MP 347.4 </t>
  </si>
  <si>
    <t>Riley Creek Bridge</t>
  </si>
  <si>
    <t>total trackage completed</t>
  </si>
  <si>
    <t>MP 353.6</t>
  </si>
  <si>
    <t>Moody Tunnel</t>
  </si>
  <si>
    <t>25 km/h</t>
  </si>
  <si>
    <t>MP 356.2</t>
  </si>
  <si>
    <t>Garner Tunnel</t>
  </si>
  <si>
    <t xml:space="preserve">MP 413.7 </t>
  </si>
  <si>
    <t>Tanana River Bridge</t>
  </si>
  <si>
    <t>km from Seward</t>
  </si>
  <si>
    <t>MP 50</t>
  </si>
  <si>
    <t>Former Loop</t>
  </si>
  <si>
    <t>Speed table</t>
  </si>
  <si>
    <t>km/h</t>
  </si>
  <si>
    <t>time per km</t>
  </si>
  <si>
    <t>m</t>
  </si>
  <si>
    <t>Speed can also be estimated by counting number of rail joints on tangent track, passed over in 44 seconds. This number will equal ± km/h</t>
  </si>
  <si>
    <t>Alt.</t>
  </si>
  <si>
    <t>Northbound</t>
  </si>
  <si>
    <t>Aurora Winter</t>
  </si>
  <si>
    <t>valid 20.9.2014-14.9.2015</t>
  </si>
  <si>
    <t>Wasilla</t>
  </si>
  <si>
    <t>|</t>
  </si>
  <si>
    <t>L 09:35</t>
  </si>
  <si>
    <t>Talkeetna</t>
  </si>
  <si>
    <t>Chase</t>
  </si>
  <si>
    <t>X</t>
  </si>
  <si>
    <t>Curry</t>
  </si>
  <si>
    <t>Deadhorse</t>
  </si>
  <si>
    <t>Sherman</t>
  </si>
  <si>
    <t>Gold Creek</t>
  </si>
  <si>
    <t>Canyon</t>
  </si>
  <si>
    <t>Twin Bridges</t>
  </si>
  <si>
    <t>Chulitna</t>
  </si>
  <si>
    <t>Hurricane</t>
  </si>
  <si>
    <t>Denali</t>
  </si>
  <si>
    <t>Healy</t>
  </si>
  <si>
    <t>Nenana</t>
  </si>
  <si>
    <t>Fairbanks</t>
  </si>
  <si>
    <t>Summer Hurricane Turn departs from Talkeetna depot. Transfer provided from Talkeetna Lode. Times may vary depending on number of flagstops.</t>
  </si>
  <si>
    <t>X = flag stop</t>
  </si>
  <si>
    <t>The Winter Hurricane only have baggage service in Anchorage</t>
  </si>
  <si>
    <t>L = Train may depart early from this stop when all reserved passengers are onboard.</t>
  </si>
  <si>
    <t>The McKinley Explorer is operated by Alaska Tour &amp; Travel</t>
  </si>
  <si>
    <t>Southbound</t>
  </si>
  <si>
    <t>L 18:15</t>
  </si>
  <si>
    <t>Summer Hurricane Turn = Times may vary depending on number of flagstops.</t>
  </si>
  <si>
    <t>Stops in between two stations</t>
  </si>
  <si>
    <t xml:space="preserve">On our route between Talkeetna – Hurricane, you can get off and on the train exactly where you want – even in places where there is no scheduled stop! </t>
  </si>
  <si>
    <t>The ideal solution for outdoor activities –  at that little lake deep in the forest, or that wild river you've been dreaming of for so long!</t>
  </si>
  <si>
    <t>To use this service, you must tell us the exact spot where you want the train to stop by specifying the exact mile marker at which you would like the train to stop.</t>
  </si>
  <si>
    <t>Stops in between two stations can be requested on these trains only:</t>
  </si>
  <si>
    <t>Aurora Winter Train between Talkeetna – Hurricane</t>
  </si>
  <si>
    <t>Winter Hurricane between Talkeetna – Hurricane</t>
  </si>
  <si>
    <t>Hurricane Turn between Talkeetna – Hurricane</t>
  </si>
  <si>
    <t>Coastal Classic</t>
  </si>
  <si>
    <t>Girdwood</t>
  </si>
  <si>
    <t>L 08:00</t>
  </si>
  <si>
    <t>from Grandview</t>
  </si>
  <si>
    <t>Portage</t>
  </si>
  <si>
    <t xml:space="preserve">  Portage</t>
  </si>
  <si>
    <t xml:space="preserve">  Whittier</t>
  </si>
  <si>
    <t>Spencer</t>
  </si>
  <si>
    <t>to Anchorage</t>
  </si>
  <si>
    <t>Grandview</t>
  </si>
  <si>
    <t>Spencer = Whistle Stop service includes guided hike with U.S. Forest Service ranger.</t>
  </si>
  <si>
    <t>Glacier Discovery passengers remain onboard at Grandview.</t>
  </si>
  <si>
    <t>Motorcoach</t>
  </si>
  <si>
    <t>from Anchorage</t>
  </si>
  <si>
    <t>L 20:55</t>
  </si>
  <si>
    <t>White Pass &amp; Yukon</t>
  </si>
  <si>
    <t>19.5-5.9*</t>
  </si>
  <si>
    <t>Skagway Jct.</t>
  </si>
  <si>
    <t>Shops</t>
  </si>
  <si>
    <t>Denver</t>
  </si>
  <si>
    <t>Clifton</t>
  </si>
  <si>
    <t>Glacier</t>
  </si>
  <si>
    <t>White Pass, AK (AT)</t>
  </si>
  <si>
    <t>White Pass, BC (PT)</t>
  </si>
  <si>
    <t>Log Cabin</t>
  </si>
  <si>
    <t>Bennett</t>
  </si>
  <si>
    <t>Bennett, BC</t>
  </si>
  <si>
    <t>Carcross, YK</t>
  </si>
  <si>
    <t>Whitehorse</t>
  </si>
  <si>
    <t>12:00 Alaska Time = 13:00 Pacific Time</t>
  </si>
  <si>
    <t>Bennett = Hot lunch stop</t>
  </si>
  <si>
    <t>914 mm narrow gauge</t>
  </si>
  <si>
    <t>* = not Su 19-30.5</t>
  </si>
  <si>
    <t>19.5-5.9</t>
  </si>
  <si>
    <t>Tu-Th 26.5-5.9</t>
  </si>
  <si>
    <t>13:00 Pacific Time = 12:00 Alaska Time</t>
  </si>
</sst>
</file>

<file path=xl/styles.xml><?xml version="1.0" encoding="utf-8"?>
<styleSheet xmlns="http://schemas.openxmlformats.org/spreadsheetml/2006/main">
  <numFmts count="11">
    <numFmt numFmtId="164" formatCode="GENERAL"/>
    <numFmt numFmtId="165" formatCode="0"/>
    <numFmt numFmtId="166" formatCode="HH:MM:SS"/>
    <numFmt numFmtId="167" formatCode="0.0"/>
    <numFmt numFmtId="168" formatCode="[$$-409]#,###;[RED]\-[$$-409]#,###"/>
    <numFmt numFmtId="169" formatCode="[$$-409]#,##0.00;[RED]\-[$$-409]#,##0.00"/>
    <numFmt numFmtId="170" formatCode="0.00%"/>
    <numFmt numFmtId="171" formatCode="#,##0.000000000"/>
    <numFmt numFmtId="172" formatCode="0.00000000"/>
    <numFmt numFmtId="173" formatCode="HH:MM"/>
    <numFmt numFmtId="174" formatCode="0.00"/>
  </numFmts>
  <fonts count="6">
    <font>
      <sz val="10"/>
      <name val="Arial"/>
      <family val="2"/>
    </font>
    <font>
      <b/>
      <sz val="10"/>
      <name val="Arial"/>
      <family val="2"/>
    </font>
    <font>
      <i/>
      <sz val="10"/>
      <name val="Arial"/>
      <family val="2"/>
    </font>
    <font>
      <b/>
      <sz val="12"/>
      <name val="Arial"/>
      <family val="2"/>
    </font>
    <font>
      <sz val="10"/>
      <name val="ArialMT"/>
      <family val="2"/>
    </font>
    <font>
      <i/>
      <sz val="10"/>
      <name val="ArialMT"/>
      <family val="2"/>
    </font>
  </fonts>
  <fills count="2">
    <fill>
      <patternFill/>
    </fill>
    <fill>
      <patternFill patternType="gray125"/>
    </fill>
  </fills>
  <borders count="3">
    <border>
      <left/>
      <right/>
      <top/>
      <bottom/>
      <diagonal/>
    </border>
    <border>
      <left>
        <color indexed="63"/>
      </left>
      <right>
        <color indexed="63"/>
      </right>
      <top>
        <color indexed="63"/>
      </top>
      <bottom style="hair">
        <color indexed="8"/>
      </bottom>
    </border>
    <border>
      <left style="thin">
        <color indexed="22"/>
      </left>
      <right style="thin">
        <color indexed="22"/>
      </right>
      <top style="thin">
        <color indexed="22"/>
      </top>
      <bottom style="thin">
        <color indexed="22"/>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1">
    <xf numFmtId="164" fontId="0" fillId="0" borderId="0" xfId="0" applyAlignment="1">
      <alignment/>
    </xf>
    <xf numFmtId="164" fontId="0" fillId="0" borderId="0" xfId="0" applyAlignment="1">
      <alignment/>
    </xf>
    <xf numFmtId="164" fontId="0" fillId="0" borderId="0" xfId="0" applyFont="1" applyAlignment="1">
      <alignment/>
    </xf>
    <xf numFmtId="164" fontId="1" fillId="0" borderId="1" xfId="0" applyFont="1" applyBorder="1" applyAlignment="1">
      <alignment/>
    </xf>
    <xf numFmtId="164" fontId="0" fillId="0" borderId="1" xfId="0" applyFont="1" applyBorder="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Font="1" applyAlignment="1">
      <alignment/>
    </xf>
    <xf numFmtId="164" fontId="0" fillId="0" borderId="0" xfId="0" applyNumberFormat="1" applyAlignment="1">
      <alignment/>
    </xf>
    <xf numFmtId="166" fontId="0" fillId="0" borderId="0" xfId="0" applyNumberFormat="1" applyFont="1" applyAlignment="1">
      <alignment/>
    </xf>
    <xf numFmtId="165" fontId="0" fillId="0" borderId="0" xfId="0" applyNumberFormat="1" applyFont="1" applyBorder="1" applyAlignment="1">
      <alignment/>
    </xf>
    <xf numFmtId="166" fontId="0" fillId="0" borderId="0" xfId="0" applyNumberFormat="1" applyFont="1" applyBorder="1" applyAlignment="1">
      <alignment/>
    </xf>
    <xf numFmtId="166" fontId="0" fillId="0" borderId="0" xfId="0" applyNumberFormat="1" applyFont="1" applyBorder="1" applyAlignment="1">
      <alignment/>
    </xf>
    <xf numFmtId="168" fontId="0" fillId="0" borderId="0" xfId="0" applyNumberFormat="1" applyFont="1" applyAlignment="1">
      <alignment/>
    </xf>
    <xf numFmtId="169" fontId="0" fillId="0" borderId="0" xfId="0" applyNumberFormat="1" applyFont="1" applyAlignment="1">
      <alignment/>
    </xf>
    <xf numFmtId="164" fontId="0" fillId="0" borderId="0" xfId="0" applyFont="1" applyBorder="1" applyAlignment="1">
      <alignment/>
    </xf>
    <xf numFmtId="166" fontId="0" fillId="0" borderId="0" xfId="0" applyNumberFormat="1" applyFont="1" applyFill="1" applyAlignment="1">
      <alignment/>
    </xf>
    <xf numFmtId="168" fontId="0" fillId="0" borderId="0" xfId="0" applyNumberFormat="1" applyAlignment="1">
      <alignment/>
    </xf>
    <xf numFmtId="164" fontId="0" fillId="0" borderId="0" xfId="0" applyFont="1" applyAlignment="1">
      <alignment/>
    </xf>
    <xf numFmtId="165" fontId="0" fillId="0" borderId="0" xfId="0" applyNumberFormat="1" applyFont="1" applyAlignment="1">
      <alignment/>
    </xf>
    <xf numFmtId="165" fontId="0" fillId="0" borderId="0" xfId="0" applyNumberFormat="1" applyAlignment="1">
      <alignment/>
    </xf>
    <xf numFmtId="164" fontId="0" fillId="0" borderId="2" xfId="0" applyFont="1" applyBorder="1" applyAlignment="1">
      <alignment/>
    </xf>
    <xf numFmtId="170" fontId="0" fillId="0" borderId="0" xfId="0" applyNumberFormat="1" applyAlignment="1">
      <alignment/>
    </xf>
    <xf numFmtId="170" fontId="0" fillId="0" borderId="0" xfId="0" applyNumberFormat="1" applyFont="1" applyAlignment="1">
      <alignment/>
    </xf>
    <xf numFmtId="164" fontId="0" fillId="0" borderId="1" xfId="0" applyFont="1" applyBorder="1" applyAlignment="1">
      <alignment/>
    </xf>
    <xf numFmtId="164" fontId="0" fillId="0" borderId="0" xfId="0" applyFont="1" applyAlignment="1">
      <alignment/>
    </xf>
    <xf numFmtId="164" fontId="0" fillId="0" borderId="0" xfId="0" applyFont="1" applyBorder="1" applyAlignment="1">
      <alignment/>
    </xf>
    <xf numFmtId="164" fontId="1" fillId="0" borderId="0" xfId="0" applyFont="1" applyAlignment="1">
      <alignment/>
    </xf>
    <xf numFmtId="164" fontId="1" fillId="0" borderId="0" xfId="0" applyFont="1" applyFill="1" applyAlignment="1">
      <alignment/>
    </xf>
    <xf numFmtId="164" fontId="0" fillId="0" borderId="0" xfId="0" applyFont="1" applyFill="1" applyAlignment="1">
      <alignment horizontal="center"/>
    </xf>
    <xf numFmtId="164" fontId="1" fillId="0" borderId="1" xfId="0" applyFont="1" applyBorder="1" applyAlignment="1">
      <alignment/>
    </xf>
    <xf numFmtId="165" fontId="0" fillId="0" borderId="0" xfId="0" applyNumberFormat="1" applyFont="1" applyAlignment="1">
      <alignment/>
    </xf>
    <xf numFmtId="170" fontId="0" fillId="0" borderId="0" xfId="0" applyNumberFormat="1" applyAlignment="1">
      <alignment/>
    </xf>
    <xf numFmtId="171" fontId="0" fillId="0" borderId="0" xfId="0" applyNumberFormat="1" applyFont="1" applyAlignment="1">
      <alignment/>
    </xf>
    <xf numFmtId="172" fontId="0" fillId="0" borderId="0" xfId="0" applyNumberFormat="1" applyFont="1" applyAlignment="1">
      <alignment/>
    </xf>
    <xf numFmtId="164" fontId="0" fillId="0" borderId="0" xfId="0" applyFont="1" applyFill="1" applyAlignment="1">
      <alignment/>
    </xf>
    <xf numFmtId="164" fontId="0" fillId="0" borderId="0" xfId="0" applyFont="1" applyAlignment="1">
      <alignment horizontal="center"/>
    </xf>
    <xf numFmtId="164" fontId="0" fillId="0" borderId="0" xfId="0" applyFont="1" applyAlignment="1">
      <alignment horizontal="center"/>
    </xf>
    <xf numFmtId="164" fontId="2" fillId="0" borderId="0" xfId="0" applyFont="1" applyBorder="1" applyAlignment="1">
      <alignment/>
    </xf>
    <xf numFmtId="164" fontId="0" fillId="0" borderId="0" xfId="0" applyFont="1" applyFill="1" applyAlignment="1">
      <alignment horizontal="right"/>
    </xf>
    <xf numFmtId="164" fontId="0" fillId="0" borderId="0" xfId="0" applyFont="1" applyFill="1" applyAlignment="1">
      <alignment/>
    </xf>
    <xf numFmtId="164" fontId="2" fillId="0" borderId="0" xfId="0" applyFont="1" applyAlignment="1">
      <alignment/>
    </xf>
    <xf numFmtId="164" fontId="0" fillId="0" borderId="0" xfId="0" applyFont="1" applyFill="1" applyAlignment="1">
      <alignment horizontal="center"/>
    </xf>
    <xf numFmtId="164" fontId="0" fillId="0" borderId="0" xfId="0" applyFont="1" applyFill="1" applyAlignment="1">
      <alignment/>
    </xf>
    <xf numFmtId="173" fontId="0" fillId="0" borderId="0" xfId="0" applyNumberFormat="1" applyFont="1" applyFill="1" applyBorder="1" applyAlignment="1">
      <alignment/>
    </xf>
    <xf numFmtId="166" fontId="0" fillId="0" borderId="0" xfId="0" applyNumberFormat="1" applyFont="1" applyFill="1" applyBorder="1" applyAlignment="1">
      <alignment horizontal="right"/>
    </xf>
    <xf numFmtId="164" fontId="0" fillId="0" borderId="0" xfId="0" applyFont="1" applyFill="1" applyBorder="1" applyAlignment="1">
      <alignment/>
    </xf>
    <xf numFmtId="165" fontId="0" fillId="0" borderId="0" xfId="0" applyNumberFormat="1" applyFont="1" applyAlignment="1">
      <alignment/>
    </xf>
    <xf numFmtId="173" fontId="0" fillId="0" borderId="0" xfId="0" applyNumberFormat="1" applyFont="1" applyAlignment="1">
      <alignment horizontal="right"/>
    </xf>
    <xf numFmtId="164" fontId="0" fillId="0" borderId="0" xfId="0" applyFont="1" applyFill="1" applyAlignment="1">
      <alignment/>
    </xf>
    <xf numFmtId="164" fontId="0" fillId="0" borderId="0" xfId="0" applyFont="1" applyFill="1" applyBorder="1" applyAlignment="1">
      <alignment/>
    </xf>
    <xf numFmtId="164" fontId="0" fillId="0" borderId="0" xfId="0" applyFont="1" applyAlignment="1">
      <alignment/>
    </xf>
    <xf numFmtId="164" fontId="3" fillId="0" borderId="0" xfId="0" applyFont="1" applyAlignment="1">
      <alignment/>
    </xf>
    <xf numFmtId="164" fontId="1" fillId="0" borderId="0" xfId="0" applyFont="1" applyAlignment="1">
      <alignment/>
    </xf>
    <xf numFmtId="164" fontId="0" fillId="0" borderId="0" xfId="0" applyFont="1" applyFill="1" applyAlignment="1">
      <alignment horizontal="right"/>
    </xf>
    <xf numFmtId="173" fontId="0" fillId="0" borderId="0" xfId="0" applyNumberFormat="1" applyFont="1" applyFill="1" applyBorder="1" applyAlignment="1">
      <alignment horizontal="right"/>
    </xf>
    <xf numFmtId="174" fontId="0" fillId="0" borderId="0" xfId="0" applyNumberFormat="1" applyFont="1" applyAlignment="1">
      <alignment/>
    </xf>
    <xf numFmtId="174" fontId="0" fillId="0" borderId="0" xfId="0" applyNumberFormat="1" applyFont="1" applyAlignment="1">
      <alignment/>
    </xf>
    <xf numFmtId="164" fontId="4" fillId="0" borderId="0" xfId="0" applyFont="1" applyAlignment="1">
      <alignment/>
    </xf>
    <xf numFmtId="173" fontId="0" fillId="0" borderId="0" xfId="0" applyNumberFormat="1" applyFont="1" applyBorder="1" applyAlignment="1">
      <alignment/>
    </xf>
    <xf numFmtId="167" fontId="0" fillId="0" borderId="0" xfId="0" applyNumberFormat="1" applyFont="1" applyAlignment="1">
      <alignment/>
    </xf>
    <xf numFmtId="174" fontId="0" fillId="0" borderId="0" xfId="0" applyNumberFormat="1" applyAlignment="1">
      <alignment/>
    </xf>
    <xf numFmtId="173" fontId="5" fillId="0" borderId="0" xfId="0" applyNumberFormat="1" applyFont="1" applyAlignment="1">
      <alignment/>
    </xf>
    <xf numFmtId="164" fontId="0" fillId="0" borderId="0" xfId="0" applyFont="1" applyAlignment="1">
      <alignment horizontal="center" wrapText="1"/>
    </xf>
    <xf numFmtId="173" fontId="0" fillId="0" borderId="0" xfId="0" applyNumberFormat="1" applyFont="1" applyAlignment="1">
      <alignment/>
    </xf>
    <xf numFmtId="173" fontId="2" fillId="0" borderId="0" xfId="0" applyNumberFormat="1" applyFont="1" applyAlignment="1">
      <alignment/>
    </xf>
    <xf numFmtId="173" fontId="2" fillId="0" borderId="0" xfId="0" applyNumberFormat="1" applyFont="1" applyFill="1" applyBorder="1" applyAlignment="1">
      <alignment/>
    </xf>
    <xf numFmtId="164" fontId="0" fillId="0" borderId="0" xfId="0" applyFont="1" applyBorder="1" applyAlignment="1">
      <alignment horizontal="center"/>
    </xf>
    <xf numFmtId="173" fontId="0" fillId="0" borderId="0" xfId="0" applyNumberFormat="1" applyAlignment="1">
      <alignment/>
    </xf>
    <xf numFmtId="164" fontId="0" fillId="0" borderId="0" xfId="0" applyAlignment="1">
      <alignment horizontal="right"/>
    </xf>
    <xf numFmtId="173"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2"/>
  <sheetViews>
    <sheetView tabSelected="1" zoomScale="80" zoomScaleNormal="80" workbookViewId="0" topLeftCell="A1">
      <selection activeCell="A1" sqref="A1"/>
    </sheetView>
  </sheetViews>
  <sheetFormatPr defaultColWidth="12.57421875" defaultRowHeight="12.75"/>
  <cols>
    <col min="1" max="1" width="8.57421875" style="1" customWidth="1"/>
    <col min="2" max="2" width="27.8515625" style="2" customWidth="1"/>
    <col min="3" max="3" width="6.421875" style="2" customWidth="1"/>
    <col min="4" max="4" width="10.7109375" style="2" customWidth="1"/>
    <col min="5" max="5" width="11.57421875" style="2" customWidth="1"/>
    <col min="6" max="6" width="17.28125" style="2" customWidth="1"/>
    <col min="7" max="7" width="21.421875" style="2" customWidth="1"/>
    <col min="8" max="8" width="15.421875" style="2" customWidth="1"/>
    <col min="9" max="9" width="14.140625" style="2" customWidth="1"/>
    <col min="10" max="11" width="11.00390625" style="2" customWidth="1"/>
    <col min="12" max="12" width="8.57421875" style="2" customWidth="1"/>
    <col min="13" max="13" width="27.140625" style="2" customWidth="1"/>
    <col min="14" max="16384" width="11.57421875" style="2" customWidth="1"/>
  </cols>
  <sheetData>
    <row r="1" spans="1:21" ht="12.75">
      <c r="A1" s="3" t="s">
        <v>0</v>
      </c>
      <c r="B1" s="3" t="s">
        <v>1</v>
      </c>
      <c r="C1" s="3" t="s">
        <v>2</v>
      </c>
      <c r="D1" s="3" t="s">
        <v>3</v>
      </c>
      <c r="E1" s="3" t="s">
        <v>4</v>
      </c>
      <c r="F1" s="3" t="s">
        <v>5</v>
      </c>
      <c r="G1" s="3" t="s">
        <v>6</v>
      </c>
      <c r="H1" s="3" t="s">
        <v>7</v>
      </c>
      <c r="I1" s="3" t="s">
        <v>8</v>
      </c>
      <c r="J1" s="3" t="s">
        <v>4</v>
      </c>
      <c r="K1" s="3" t="s">
        <v>9</v>
      </c>
      <c r="L1" s="3" t="s">
        <v>10</v>
      </c>
      <c r="M1" s="3" t="s">
        <v>11</v>
      </c>
      <c r="N1" s="3" t="s">
        <v>12</v>
      </c>
      <c r="O1" s="3" t="s">
        <v>13</v>
      </c>
      <c r="P1" s="3" t="s">
        <v>14</v>
      </c>
      <c r="Q1" s="3" t="s">
        <v>15</v>
      </c>
      <c r="R1" s="3" t="s">
        <v>16</v>
      </c>
      <c r="S1" s="3" t="s">
        <v>17</v>
      </c>
      <c r="T1" s="3" t="s">
        <v>18</v>
      </c>
      <c r="U1" s="4"/>
    </row>
    <row r="2" spans="1:19" ht="12.75">
      <c r="A2">
        <v>1</v>
      </c>
      <c r="B2" t="s">
        <v>19</v>
      </c>
      <c r="C2" s="5">
        <v>107.63</v>
      </c>
      <c r="D2" s="6">
        <v>0.22916666666666666</v>
      </c>
      <c r="E2" s="6">
        <v>0.15763888888888888</v>
      </c>
      <c r="F2" t="s">
        <v>20</v>
      </c>
      <c r="G2" t="s">
        <v>21</v>
      </c>
      <c r="H2"/>
      <c r="I2" s="7">
        <f>C2/D2/24</f>
        <v>19.56909090909091</v>
      </c>
      <c r="J2" s="7">
        <f>C2/E2/24</f>
        <v>28.448458149779736</v>
      </c>
      <c r="K2" t="s">
        <v>22</v>
      </c>
      <c r="L2" t="s">
        <v>23</v>
      </c>
      <c r="M2" t="s">
        <v>24</v>
      </c>
      <c r="N2">
        <v>4</v>
      </c>
      <c r="O2" s="8">
        <f>N2*C2</f>
        <v>430.52</v>
      </c>
      <c r="P2" t="s">
        <v>25</v>
      </c>
      <c r="Q2"/>
      <c r="R2"/>
      <c r="S2"/>
    </row>
    <row r="3" spans="1:19" ht="12.75">
      <c r="A3">
        <v>2</v>
      </c>
      <c r="B3" t="s">
        <v>26</v>
      </c>
      <c r="C3" s="5">
        <v>107.63</v>
      </c>
      <c r="D3" s="9">
        <v>0.21875</v>
      </c>
      <c r="E3" s="9">
        <v>0.16319444444444445</v>
      </c>
      <c r="F3" t="s">
        <v>20</v>
      </c>
      <c r="G3" t="s">
        <v>27</v>
      </c>
      <c r="H3"/>
      <c r="I3" s="7">
        <f>C3/D3/24</f>
        <v>20.50095238095238</v>
      </c>
      <c r="J3" s="7">
        <f>C3/E3/24</f>
        <v>27.48</v>
      </c>
      <c r="K3" t="s">
        <v>28</v>
      </c>
      <c r="L3" t="s">
        <v>23</v>
      </c>
      <c r="M3" t="s">
        <v>24</v>
      </c>
      <c r="N3">
        <v>1</v>
      </c>
      <c r="O3" s="8">
        <f>N3*C3</f>
        <v>107.63</v>
      </c>
      <c r="P3" t="s">
        <v>25</v>
      </c>
      <c r="R3"/>
      <c r="S3"/>
    </row>
    <row r="4" spans="1:18" ht="12.75">
      <c r="A4">
        <v>21</v>
      </c>
      <c r="B4" t="s">
        <v>29</v>
      </c>
      <c r="C4" s="10">
        <v>40.9</v>
      </c>
      <c r="D4" s="6">
        <v>0.07291666666666667</v>
      </c>
      <c r="E4" s="6">
        <v>0.07083333333333333</v>
      </c>
      <c r="F4" t="s">
        <v>30</v>
      </c>
      <c r="G4" t="s">
        <v>31</v>
      </c>
      <c r="H4" t="s">
        <v>32</v>
      </c>
      <c r="I4" s="7">
        <f>C4/D4/24</f>
        <v>23.37142857142857</v>
      </c>
      <c r="J4" s="7">
        <f>C4/E4/24</f>
        <v>24.058823529411764</v>
      </c>
      <c r="K4" t="s">
        <v>22</v>
      </c>
      <c r="L4" t="s">
        <v>23</v>
      </c>
      <c r="M4" t="s">
        <v>24</v>
      </c>
      <c r="N4">
        <v>7</v>
      </c>
      <c r="O4" s="8">
        <f>N4*C4</f>
        <v>286.3</v>
      </c>
      <c r="P4" t="s">
        <v>25</v>
      </c>
      <c r="R4"/>
    </row>
    <row r="5" spans="1:18" ht="12.75">
      <c r="A5">
        <v>22</v>
      </c>
      <c r="B5" t="s">
        <v>33</v>
      </c>
      <c r="C5" s="5">
        <v>43.63</v>
      </c>
      <c r="D5" s="9">
        <v>0.07291666666666667</v>
      </c>
      <c r="E5" s="9">
        <v>0.07083333333333333</v>
      </c>
      <c r="F5" t="s">
        <v>30</v>
      </c>
      <c r="G5" t="s">
        <v>31</v>
      </c>
      <c r="H5" t="s">
        <v>32</v>
      </c>
      <c r="I5" s="7">
        <f>C5/D5/24</f>
        <v>24.931428571428572</v>
      </c>
      <c r="J5" s="7">
        <f>C5/E5/24</f>
        <v>25.664705882352944</v>
      </c>
      <c r="K5" t="s">
        <v>28</v>
      </c>
      <c r="L5" t="s">
        <v>23</v>
      </c>
      <c r="M5" t="s">
        <v>24</v>
      </c>
      <c r="N5">
        <v>7</v>
      </c>
      <c r="O5" s="8">
        <f>N5*C5</f>
        <v>305.41</v>
      </c>
      <c r="P5" t="s">
        <v>25</v>
      </c>
      <c r="R5"/>
    </row>
    <row r="6" spans="1:18" ht="12.75">
      <c r="A6">
        <v>23</v>
      </c>
      <c r="B6" t="s">
        <v>29</v>
      </c>
      <c r="C6" s="10">
        <v>40.9</v>
      </c>
      <c r="D6" s="9">
        <v>0.07291666666666667</v>
      </c>
      <c r="E6" s="9">
        <v>0.07083333333333333</v>
      </c>
      <c r="F6" t="s">
        <v>30</v>
      </c>
      <c r="G6" t="s">
        <v>31</v>
      </c>
      <c r="H6" t="s">
        <v>32</v>
      </c>
      <c r="I6" s="7">
        <f>C6/D6/24</f>
        <v>23.37142857142857</v>
      </c>
      <c r="J6" s="7">
        <f>C6/E6/24</f>
        <v>24.058823529411764</v>
      </c>
      <c r="K6" t="s">
        <v>22</v>
      </c>
      <c r="L6" t="s">
        <v>23</v>
      </c>
      <c r="M6" t="s">
        <v>24</v>
      </c>
      <c r="N6">
        <v>7</v>
      </c>
      <c r="O6" s="8">
        <f>N6*C6</f>
        <v>286.3</v>
      </c>
      <c r="P6" t="s">
        <v>25</v>
      </c>
      <c r="R6"/>
    </row>
    <row r="7" spans="1:18" ht="12.75">
      <c r="A7">
        <v>24</v>
      </c>
      <c r="B7" t="s">
        <v>33</v>
      </c>
      <c r="C7" s="5">
        <v>43.63</v>
      </c>
      <c r="D7" s="9">
        <v>0.07291666666666667</v>
      </c>
      <c r="E7" s="9">
        <v>0.07083333333333333</v>
      </c>
      <c r="F7" t="s">
        <v>30</v>
      </c>
      <c r="G7" t="s">
        <v>31</v>
      </c>
      <c r="H7" t="s">
        <v>32</v>
      </c>
      <c r="I7" s="7">
        <f>C7/D7/24</f>
        <v>24.931428571428572</v>
      </c>
      <c r="J7" s="7">
        <f>C7/E7/24</f>
        <v>25.664705882352944</v>
      </c>
      <c r="K7" t="s">
        <v>28</v>
      </c>
      <c r="L7" t="s">
        <v>23</v>
      </c>
      <c r="M7" t="s">
        <v>24</v>
      </c>
      <c r="N7">
        <v>7</v>
      </c>
      <c r="O7" s="8">
        <f>N7*C7</f>
        <v>305.41</v>
      </c>
      <c r="P7" t="s">
        <v>25</v>
      </c>
      <c r="R7"/>
    </row>
    <row r="8" spans="1:18" ht="12.75">
      <c r="A8">
        <v>31</v>
      </c>
      <c r="B8" t="s">
        <v>34</v>
      </c>
      <c r="C8" s="5">
        <v>31.83</v>
      </c>
      <c r="D8" s="6">
        <v>0.05347222222222222</v>
      </c>
      <c r="E8"/>
      <c r="F8" t="s">
        <v>35</v>
      </c>
      <c r="G8" t="s">
        <v>31</v>
      </c>
      <c r="H8" t="s">
        <v>32</v>
      </c>
      <c r="I8" s="7">
        <f>C8/D8/24</f>
        <v>24.802597402597403</v>
      </c>
      <c r="J8"/>
      <c r="K8" t="s">
        <v>22</v>
      </c>
      <c r="L8" t="s">
        <v>23</v>
      </c>
      <c r="M8" t="s">
        <v>24</v>
      </c>
      <c r="N8">
        <v>7</v>
      </c>
      <c r="O8" s="8">
        <f>N8*C8</f>
        <v>222.81</v>
      </c>
      <c r="P8" t="s">
        <v>25</v>
      </c>
      <c r="R8"/>
    </row>
    <row r="9" spans="1:18" ht="12.75">
      <c r="A9">
        <v>32</v>
      </c>
      <c r="B9" t="s">
        <v>36</v>
      </c>
      <c r="C9" s="5">
        <v>31.83</v>
      </c>
      <c r="D9" s="9">
        <v>0.05486111111111111</v>
      </c>
      <c r="E9"/>
      <c r="F9" t="s">
        <v>35</v>
      </c>
      <c r="G9" t="s">
        <v>31</v>
      </c>
      <c r="H9" t="s">
        <v>32</v>
      </c>
      <c r="I9" s="7">
        <f>C9/D9/24</f>
        <v>24.174683544303793</v>
      </c>
      <c r="J9"/>
      <c r="K9" t="s">
        <v>28</v>
      </c>
      <c r="L9" t="s">
        <v>23</v>
      </c>
      <c r="M9" t="s">
        <v>24</v>
      </c>
      <c r="N9">
        <v>7</v>
      </c>
      <c r="O9" s="8">
        <f>N9*C9</f>
        <v>222.81</v>
      </c>
      <c r="P9" t="s">
        <v>25</v>
      </c>
      <c r="R9"/>
    </row>
    <row r="10" spans="1:18" ht="12.75">
      <c r="A10">
        <v>41</v>
      </c>
      <c r="B10" t="s">
        <v>34</v>
      </c>
      <c r="C10" s="5">
        <v>31.83</v>
      </c>
      <c r="D10" s="6">
        <v>0.05347222222222222</v>
      </c>
      <c r="E10"/>
      <c r="F10" t="s">
        <v>35</v>
      </c>
      <c r="G10" t="s">
        <v>31</v>
      </c>
      <c r="H10" t="s">
        <v>32</v>
      </c>
      <c r="I10" s="7">
        <f>C10/D10/24</f>
        <v>24.802597402597403</v>
      </c>
      <c r="J10"/>
      <c r="K10" t="s">
        <v>22</v>
      </c>
      <c r="L10" t="s">
        <v>23</v>
      </c>
      <c r="M10" t="s">
        <v>24</v>
      </c>
      <c r="N10">
        <v>7</v>
      </c>
      <c r="O10" s="8">
        <f>N10*C10</f>
        <v>222.81</v>
      </c>
      <c r="P10" t="s">
        <v>25</v>
      </c>
      <c r="R10"/>
    </row>
    <row r="11" spans="1:18" ht="12.75">
      <c r="A11">
        <v>42</v>
      </c>
      <c r="B11" t="s">
        <v>36</v>
      </c>
      <c r="C11" s="5">
        <v>31.83</v>
      </c>
      <c r="D11" s="9">
        <v>0.05486111111111111</v>
      </c>
      <c r="E11"/>
      <c r="F11" t="s">
        <v>35</v>
      </c>
      <c r="G11" t="s">
        <v>31</v>
      </c>
      <c r="H11" t="s">
        <v>32</v>
      </c>
      <c r="I11" s="7">
        <f>C11/D11/24</f>
        <v>24.174683544303793</v>
      </c>
      <c r="J11"/>
      <c r="K11" t="s">
        <v>28</v>
      </c>
      <c r="L11" t="s">
        <v>23</v>
      </c>
      <c r="M11" t="s">
        <v>24</v>
      </c>
      <c r="N11">
        <v>7</v>
      </c>
      <c r="O11" s="8">
        <f>N11*C11</f>
        <v>222.81</v>
      </c>
      <c r="P11" t="s">
        <v>25</v>
      </c>
      <c r="R11"/>
    </row>
    <row r="12" spans="1:18" ht="12.75">
      <c r="A12">
        <v>51</v>
      </c>
      <c r="B12" t="s">
        <v>34</v>
      </c>
      <c r="C12" s="5">
        <v>31.83</v>
      </c>
      <c r="D12" s="6">
        <v>0.05347222222222222</v>
      </c>
      <c r="E12"/>
      <c r="F12" t="s">
        <v>35</v>
      </c>
      <c r="G12" t="s">
        <v>37</v>
      </c>
      <c r="H12" t="s">
        <v>32</v>
      </c>
      <c r="I12" s="7">
        <f>C12/D12/24</f>
        <v>24.802597402597403</v>
      </c>
      <c r="J12"/>
      <c r="K12" t="s">
        <v>22</v>
      </c>
      <c r="L12" t="s">
        <v>23</v>
      </c>
      <c r="M12" t="s">
        <v>24</v>
      </c>
      <c r="N12">
        <v>2</v>
      </c>
      <c r="O12" s="8">
        <f>N12*C12</f>
        <v>63.66</v>
      </c>
      <c r="P12" t="s">
        <v>25</v>
      </c>
      <c r="R12"/>
    </row>
    <row r="13" spans="1:18" ht="12.75">
      <c r="A13">
        <v>52</v>
      </c>
      <c r="B13" t="s">
        <v>36</v>
      </c>
      <c r="C13" s="5">
        <v>31.83</v>
      </c>
      <c r="D13" s="9">
        <v>0.05486111111111111</v>
      </c>
      <c r="E13"/>
      <c r="F13" t="s">
        <v>35</v>
      </c>
      <c r="G13" t="s">
        <v>37</v>
      </c>
      <c r="H13" t="s">
        <v>32</v>
      </c>
      <c r="I13" s="7">
        <f>C13/D13/24</f>
        <v>24.174683544303793</v>
      </c>
      <c r="J13"/>
      <c r="K13" t="s">
        <v>28</v>
      </c>
      <c r="L13" t="s">
        <v>23</v>
      </c>
      <c r="M13" t="s">
        <v>24</v>
      </c>
      <c r="N13">
        <v>2</v>
      </c>
      <c r="O13" s="8">
        <f>N13*C13</f>
        <v>63.66</v>
      </c>
      <c r="P13" t="s">
        <v>25</v>
      </c>
      <c r="R13"/>
    </row>
    <row r="14" spans="1:18" ht="12.75">
      <c r="A14" t="s">
        <v>38</v>
      </c>
      <c r="B14" t="s">
        <v>29</v>
      </c>
      <c r="C14" s="5">
        <v>43.63</v>
      </c>
      <c r="D14" s="6">
        <v>0.06944444444444445</v>
      </c>
      <c r="E14" s="6">
        <v>0.06736111111111111</v>
      </c>
      <c r="F14" t="s">
        <v>39</v>
      </c>
      <c r="G14" t="s">
        <v>40</v>
      </c>
      <c r="H14"/>
      <c r="I14" s="7">
        <f>C14/D14/24</f>
        <v>26.178</v>
      </c>
      <c r="J14" s="7">
        <f>C14/E14/24</f>
        <v>26.987628865979385</v>
      </c>
      <c r="K14" t="s">
        <v>22</v>
      </c>
      <c r="L14" t="s">
        <v>23</v>
      </c>
      <c r="M14" t="s">
        <v>24</v>
      </c>
      <c r="N14">
        <v>2</v>
      </c>
      <c r="O14" s="8">
        <f>N14*C14</f>
        <v>87.26</v>
      </c>
      <c r="P14" t="s">
        <v>25</v>
      </c>
      <c r="R14"/>
    </row>
    <row r="15" spans="1:18" ht="12.75">
      <c r="A15" t="s">
        <v>38</v>
      </c>
      <c r="B15" t="s">
        <v>33</v>
      </c>
      <c r="C15" s="5">
        <v>43.63</v>
      </c>
      <c r="D15" s="9">
        <v>0.07291666666666667</v>
      </c>
      <c r="E15" s="9">
        <v>0.07083333333333333</v>
      </c>
      <c r="F15" t="s">
        <v>39</v>
      </c>
      <c r="G15" t="s">
        <v>40</v>
      </c>
      <c r="H15"/>
      <c r="I15" s="7">
        <f>C15/D15/24</f>
        <v>24.931428571428572</v>
      </c>
      <c r="J15" s="7">
        <f>C15/E15/24</f>
        <v>25.664705882352944</v>
      </c>
      <c r="K15" t="s">
        <v>28</v>
      </c>
      <c r="L15" t="s">
        <v>23</v>
      </c>
      <c r="M15" t="s">
        <v>24</v>
      </c>
      <c r="N15">
        <v>2</v>
      </c>
      <c r="O15" s="8">
        <f>N15*C15</f>
        <v>87.26</v>
      </c>
      <c r="P15" t="s">
        <v>25</v>
      </c>
      <c r="R15"/>
    </row>
    <row r="16" spans="1:21" ht="12.75">
      <c r="A16"/>
      <c r="B16" t="s">
        <v>41</v>
      </c>
      <c r="C16" s="5">
        <v>178.23</v>
      </c>
      <c r="D16" s="11">
        <f>Alaska!E85-Alaska!E73</f>
        <v>0.18055555555555558</v>
      </c>
      <c r="E16" s="12">
        <f>D17</f>
        <v>0.17708333333333337</v>
      </c>
      <c r="F16" t="s">
        <v>42</v>
      </c>
      <c r="G16" t="s">
        <v>43</v>
      </c>
      <c r="H16" t="s">
        <v>44</v>
      </c>
      <c r="I16" s="7">
        <f>C16/D16/24</f>
        <v>41.12999999999999</v>
      </c>
      <c r="J16" s="7">
        <f>C16/E16/24</f>
        <v>41.93647058823528</v>
      </c>
      <c r="K16" t="s">
        <v>28</v>
      </c>
      <c r="L16" t="s">
        <v>23</v>
      </c>
      <c r="M16" t="s">
        <v>45</v>
      </c>
      <c r="N16">
        <v>7</v>
      </c>
      <c r="O16" s="8">
        <f>N16*C16</f>
        <v>1247.61</v>
      </c>
      <c r="P16" t="s">
        <v>46</v>
      </c>
      <c r="Q16" s="13">
        <v>89</v>
      </c>
      <c r="R16" s="13">
        <v>165</v>
      </c>
      <c r="U16" s="14">
        <f>Q16/C16</f>
        <v>0.49935476631319087</v>
      </c>
    </row>
    <row r="17" spans="1:21" ht="12.75">
      <c r="A17"/>
      <c r="B17" t="s">
        <v>47</v>
      </c>
      <c r="C17" s="5">
        <v>178.23</v>
      </c>
      <c r="D17" s="6">
        <f>Alaska!H105-Alaska!H93</f>
        <v>0.17708333333333337</v>
      </c>
      <c r="E17" s="12">
        <v>0.1736111111111111</v>
      </c>
      <c r="F17" t="s">
        <v>42</v>
      </c>
      <c r="G17" t="s">
        <v>43</v>
      </c>
      <c r="H17" t="s">
        <v>44</v>
      </c>
      <c r="I17" s="7">
        <f>C17/D17/24</f>
        <v>41.93647058823528</v>
      </c>
      <c r="J17" s="7">
        <f>C17/E17/24</f>
        <v>42.775200000000005</v>
      </c>
      <c r="K17" t="s">
        <v>22</v>
      </c>
      <c r="L17" t="s">
        <v>23</v>
      </c>
      <c r="M17" t="s">
        <v>45</v>
      </c>
      <c r="N17">
        <v>7</v>
      </c>
      <c r="O17" s="8">
        <f>N17*C17</f>
        <v>1247.61</v>
      </c>
      <c r="P17" t="s">
        <v>46</v>
      </c>
      <c r="Q17" s="13">
        <v>89</v>
      </c>
      <c r="R17" s="13">
        <v>175</v>
      </c>
      <c r="U17" s="14">
        <f>Q17/C17</f>
        <v>0.49935476631319087</v>
      </c>
    </row>
    <row r="18" spans="1:21" ht="12.75">
      <c r="A18">
        <v>2</v>
      </c>
      <c r="B18" t="s">
        <v>48</v>
      </c>
      <c r="C18" s="15">
        <v>573</v>
      </c>
      <c r="D18" s="16">
        <f>Alaska!H23-Alaska!H5</f>
        <v>0.48958333333333337</v>
      </c>
      <c r="E18" s="6">
        <v>0.4618055555555556</v>
      </c>
      <c r="F18" t="s">
        <v>49</v>
      </c>
      <c r="G18" t="s">
        <v>50</v>
      </c>
      <c r="H18" t="s">
        <v>44</v>
      </c>
      <c r="I18" s="7">
        <f>C18/D18/24</f>
        <v>48.76595744680851</v>
      </c>
      <c r="J18" s="7">
        <f>C18/E18/24</f>
        <v>51.69924812030075</v>
      </c>
      <c r="K18" t="s">
        <v>22</v>
      </c>
      <c r="L18" t="s">
        <v>23</v>
      </c>
      <c r="M18" t="s">
        <v>45</v>
      </c>
      <c r="N18">
        <v>7</v>
      </c>
      <c r="O18" s="8">
        <f>N18*C18</f>
        <v>4011</v>
      </c>
      <c r="P18" t="s">
        <v>46</v>
      </c>
      <c r="Q18" s="13">
        <v>187</v>
      </c>
      <c r="R18" s="17">
        <v>355</v>
      </c>
      <c r="S18" s="13">
        <v>233</v>
      </c>
      <c r="T18" s="13">
        <v>401</v>
      </c>
      <c r="U18" s="14">
        <f>Q18/C18</f>
        <v>0.3263525305410122</v>
      </c>
    </row>
    <row r="19" spans="1:21" ht="12.75">
      <c r="A19">
        <v>1</v>
      </c>
      <c r="B19" t="s">
        <v>51</v>
      </c>
      <c r="C19" s="15">
        <v>573</v>
      </c>
      <c r="D19" s="16">
        <f>Alaska!I52-Alaska!I34</f>
        <v>0.48958333333333337</v>
      </c>
      <c r="E19" s="6">
        <v>0.4618055555555556</v>
      </c>
      <c r="F19" t="s">
        <v>49</v>
      </c>
      <c r="G19" t="s">
        <v>52</v>
      </c>
      <c r="H19" t="s">
        <v>44</v>
      </c>
      <c r="I19" s="7">
        <f>C19/D19/24</f>
        <v>48.76595744680851</v>
      </c>
      <c r="J19" s="7">
        <f>C19/E19/24</f>
        <v>51.69924812030075</v>
      </c>
      <c r="K19" t="s">
        <v>28</v>
      </c>
      <c r="L19" t="s">
        <v>23</v>
      </c>
      <c r="M19" t="s">
        <v>45</v>
      </c>
      <c r="N19">
        <v>7</v>
      </c>
      <c r="O19" s="8">
        <f>N19*C19</f>
        <v>4011</v>
      </c>
      <c r="P19" t="s">
        <v>46</v>
      </c>
      <c r="Q19" s="13">
        <v>187</v>
      </c>
      <c r="R19" s="17">
        <v>355</v>
      </c>
      <c r="S19" s="13">
        <v>233</v>
      </c>
      <c r="T19" s="13">
        <v>401</v>
      </c>
      <c r="U19" s="14">
        <f>Q19/C19</f>
        <v>0.3263525305410122</v>
      </c>
    </row>
    <row r="20" spans="1:19" ht="12.75">
      <c r="A20"/>
      <c r="B20" t="s">
        <v>53</v>
      </c>
      <c r="C20" s="18">
        <v>376</v>
      </c>
      <c r="D20" s="16">
        <v>0.3090277777777778</v>
      </c>
      <c r="E20"/>
      <c r="F20" t="s">
        <v>54</v>
      </c>
      <c r="G20" t="s">
        <v>55</v>
      </c>
      <c r="H20" t="s">
        <v>56</v>
      </c>
      <c r="I20" s="7">
        <f>C20/D20/24</f>
        <v>50.69662921348314</v>
      </c>
      <c r="J20"/>
      <c r="K20" t="s">
        <v>22</v>
      </c>
      <c r="L20" t="s">
        <v>23</v>
      </c>
      <c r="M20" t="s">
        <v>57</v>
      </c>
      <c r="N20">
        <v>7</v>
      </c>
      <c r="O20" s="8">
        <f>N20*C20</f>
        <v>2632</v>
      </c>
      <c r="P20" t="s">
        <v>46</v>
      </c>
      <c r="Q20"/>
      <c r="S20" s="17">
        <v>218</v>
      </c>
    </row>
    <row r="21" spans="1:19" ht="12.75">
      <c r="A21"/>
      <c r="B21" t="s">
        <v>58</v>
      </c>
      <c r="C21" s="18">
        <v>376</v>
      </c>
      <c r="D21" s="16">
        <v>0.3020833333333333</v>
      </c>
      <c r="E21"/>
      <c r="F21" t="s">
        <v>54</v>
      </c>
      <c r="G21" t="s">
        <v>59</v>
      </c>
      <c r="H21" t="s">
        <v>56</v>
      </c>
      <c r="I21" s="7">
        <f>C21/D21/24</f>
        <v>51.862068965517246</v>
      </c>
      <c r="J21"/>
      <c r="K21" t="s">
        <v>28</v>
      </c>
      <c r="L21" t="s">
        <v>23</v>
      </c>
      <c r="M21" t="s">
        <v>57</v>
      </c>
      <c r="N21">
        <v>7</v>
      </c>
      <c r="O21" s="8">
        <f>N21*C21</f>
        <v>2632</v>
      </c>
      <c r="P21" t="s">
        <v>46</v>
      </c>
      <c r="Q21"/>
      <c r="S21" s="17">
        <v>218</v>
      </c>
    </row>
    <row r="22" spans="1:21" ht="12.75">
      <c r="A22"/>
      <c r="B22" t="s">
        <v>60</v>
      </c>
      <c r="C22" s="19">
        <f>Alaska!A84+2*Alaska!A80</f>
        <v>149.266</v>
      </c>
      <c r="D22" s="11">
        <f>Alaska!F84-Alaska!F73</f>
        <v>0.23263888888888884</v>
      </c>
      <c r="E22" s="12">
        <v>0.1840277777777778</v>
      </c>
      <c r="F22" t="s">
        <v>61</v>
      </c>
      <c r="G22" t="s">
        <v>62</v>
      </c>
      <c r="H22" t="s">
        <v>63</v>
      </c>
      <c r="I22" s="7">
        <f>C22/D22/24</f>
        <v>26.734208955223888</v>
      </c>
      <c r="J22" s="7">
        <f>C22/E22/24</f>
        <v>33.79607547169811</v>
      </c>
      <c r="K22" t="s">
        <v>28</v>
      </c>
      <c r="L22" t="s">
        <v>23</v>
      </c>
      <c r="M22" t="s">
        <v>45</v>
      </c>
      <c r="N22">
        <v>7</v>
      </c>
      <c r="O22" s="8">
        <f>N22*C22</f>
        <v>1044.8619999999999</v>
      </c>
      <c r="P22" t="s">
        <v>46</v>
      </c>
      <c r="Q22" s="17">
        <v>77</v>
      </c>
      <c r="R22" t="s">
        <v>64</v>
      </c>
      <c r="U22" s="14">
        <f>Q22/C22</f>
        <v>0.5158575965055673</v>
      </c>
    </row>
    <row r="23" spans="1:21" ht="12.75">
      <c r="A23"/>
      <c r="B23" t="s">
        <v>65</v>
      </c>
      <c r="C23" s="20">
        <f>C22</f>
        <v>149.266</v>
      </c>
      <c r="D23" s="6">
        <f>Alaska!F105-Alaska!F94</f>
        <v>0.23958333333333326</v>
      </c>
      <c r="E23" s="12">
        <v>0.18055555555555555</v>
      </c>
      <c r="F23" t="s">
        <v>61</v>
      </c>
      <c r="G23" t="s">
        <v>62</v>
      </c>
      <c r="H23" t="s">
        <v>63</v>
      </c>
      <c r="I23" s="7">
        <f>C23/D23/24</f>
        <v>25.959304347826095</v>
      </c>
      <c r="J23" s="7">
        <f>C23/E23/24</f>
        <v>34.446</v>
      </c>
      <c r="K23" t="s">
        <v>22</v>
      </c>
      <c r="L23" t="s">
        <v>23</v>
      </c>
      <c r="M23" t="s">
        <v>45</v>
      </c>
      <c r="N23">
        <v>7</v>
      </c>
      <c r="O23" s="8">
        <f>N23*C23</f>
        <v>1044.8619999999999</v>
      </c>
      <c r="P23" t="s">
        <v>46</v>
      </c>
      <c r="Q23" s="17">
        <v>125</v>
      </c>
      <c r="R23" t="s">
        <v>66</v>
      </c>
      <c r="U23" s="14">
        <f>Q23/C23</f>
        <v>0.8374311631583884</v>
      </c>
    </row>
    <row r="24" spans="1:21" ht="12.75">
      <c r="A24">
        <v>4</v>
      </c>
      <c r="B24" t="s">
        <v>67</v>
      </c>
      <c r="C24" s="15">
        <v>88</v>
      </c>
      <c r="D24" s="6">
        <v>0.09375</v>
      </c>
      <c r="E24"/>
      <c r="F24" t="s">
        <v>68</v>
      </c>
      <c r="G24" t="s">
        <v>69</v>
      </c>
      <c r="H24" t="s">
        <v>70</v>
      </c>
      <c r="I24" s="7">
        <f>C24/D24/24</f>
        <v>39.11111111111111</v>
      </c>
      <c r="J24"/>
      <c r="K24" t="s">
        <v>22</v>
      </c>
      <c r="L24" t="s">
        <v>23</v>
      </c>
      <c r="M24" t="s">
        <v>45</v>
      </c>
      <c r="N24">
        <v>4</v>
      </c>
      <c r="O24" s="8">
        <f>N24*C24</f>
        <v>352</v>
      </c>
      <c r="P24" t="s">
        <v>46</v>
      </c>
      <c r="Q24" s="13">
        <v>78</v>
      </c>
      <c r="R24"/>
      <c r="U24" s="14">
        <f>Q24/C24</f>
        <v>0.8863636363636364</v>
      </c>
    </row>
    <row r="25" spans="1:21" ht="12.75">
      <c r="A25">
        <v>3</v>
      </c>
      <c r="B25" t="s">
        <v>71</v>
      </c>
      <c r="C25" s="15">
        <v>88</v>
      </c>
      <c r="D25" s="6">
        <v>0.125</v>
      </c>
      <c r="E25"/>
      <c r="F25" t="s">
        <v>68</v>
      </c>
      <c r="G25" t="s">
        <v>69</v>
      </c>
      <c r="H25" t="s">
        <v>70</v>
      </c>
      <c r="I25" s="7">
        <f>C25/D25/24</f>
        <v>29.333333333333332</v>
      </c>
      <c r="J25"/>
      <c r="K25" t="s">
        <v>28</v>
      </c>
      <c r="L25" t="s">
        <v>23</v>
      </c>
      <c r="M25" t="s">
        <v>45</v>
      </c>
      <c r="N25">
        <v>4</v>
      </c>
      <c r="O25" s="8">
        <f>N25*C25</f>
        <v>352</v>
      </c>
      <c r="P25" t="s">
        <v>46</v>
      </c>
      <c r="Q25" s="13">
        <v>78</v>
      </c>
      <c r="R25"/>
      <c r="U25" s="14">
        <f>Q25/C25</f>
        <v>0.8863636363636364</v>
      </c>
    </row>
    <row r="26" spans="1:21" ht="12.75">
      <c r="A26">
        <v>10</v>
      </c>
      <c r="B26" t="s">
        <v>48</v>
      </c>
      <c r="C26" s="15">
        <v>573</v>
      </c>
      <c r="D26" s="16">
        <f>Alaska!E23-Alaska!E5</f>
        <v>0.4791666666666667</v>
      </c>
      <c r="E26"/>
      <c r="F26" t="s">
        <v>72</v>
      </c>
      <c r="G26" t="s">
        <v>73</v>
      </c>
      <c r="H26" t="s">
        <v>63</v>
      </c>
      <c r="I26" s="7">
        <f>C26/D26/24</f>
        <v>49.82608695652174</v>
      </c>
      <c r="J26"/>
      <c r="K26" t="s">
        <v>22</v>
      </c>
      <c r="L26" t="s">
        <v>74</v>
      </c>
      <c r="M26" t="s">
        <v>45</v>
      </c>
      <c r="N26">
        <v>1</v>
      </c>
      <c r="O26" s="8">
        <f>N26*C26</f>
        <v>573</v>
      </c>
      <c r="P26" t="s">
        <v>46</v>
      </c>
      <c r="Q26" s="13">
        <v>179</v>
      </c>
      <c r="U26" s="14">
        <f>Q26/C26</f>
        <v>0.31239092495637</v>
      </c>
    </row>
    <row r="27" spans="1:21" ht="12.75">
      <c r="A27">
        <v>9</v>
      </c>
      <c r="B27" t="s">
        <v>51</v>
      </c>
      <c r="C27" s="15">
        <v>573</v>
      </c>
      <c r="D27" s="16">
        <f>Alaska!E52-Alaska!E34</f>
        <v>0.4791666666666667</v>
      </c>
      <c r="E27"/>
      <c r="F27" t="s">
        <v>72</v>
      </c>
      <c r="G27" t="s">
        <v>75</v>
      </c>
      <c r="H27" t="s">
        <v>63</v>
      </c>
      <c r="I27" s="7">
        <f>C27/D27/24</f>
        <v>49.82608695652174</v>
      </c>
      <c r="J27"/>
      <c r="K27" t="s">
        <v>28</v>
      </c>
      <c r="L27" t="s">
        <v>74</v>
      </c>
      <c r="M27" t="s">
        <v>45</v>
      </c>
      <c r="N27">
        <v>1</v>
      </c>
      <c r="O27" s="8">
        <f>N27*C27</f>
        <v>573</v>
      </c>
      <c r="P27" t="s">
        <v>46</v>
      </c>
      <c r="Q27" s="13">
        <v>179</v>
      </c>
      <c r="U27" s="14">
        <f>Q27/C27</f>
        <v>0.31239092495637</v>
      </c>
    </row>
    <row r="28" spans="1:21" ht="12.75">
      <c r="A28">
        <v>10</v>
      </c>
      <c r="B28" t="s">
        <v>76</v>
      </c>
      <c r="C28" s="15">
        <v>269</v>
      </c>
      <c r="D28" s="6">
        <f>Alaska!F18-Alaska!F5</f>
        <v>0.21527777777777773</v>
      </c>
      <c r="E28"/>
      <c r="F28" t="s">
        <v>77</v>
      </c>
      <c r="G28" t="s">
        <v>78</v>
      </c>
      <c r="H28" t="s">
        <v>70</v>
      </c>
      <c r="I28" s="7">
        <f>C28/D28/24</f>
        <v>52.06451612903226</v>
      </c>
      <c r="J28"/>
      <c r="K28" t="s">
        <v>22</v>
      </c>
      <c r="L28" t="s">
        <v>74</v>
      </c>
      <c r="M28" t="s">
        <v>45</v>
      </c>
      <c r="N28">
        <v>0.25</v>
      </c>
      <c r="O28" s="8">
        <f>N28*C28</f>
        <v>67.25</v>
      </c>
      <c r="P28" t="s">
        <v>46</v>
      </c>
      <c r="Q28" s="13">
        <v>96</v>
      </c>
      <c r="R28" s="2" t="s">
        <v>79</v>
      </c>
      <c r="U28" s="14">
        <f>Q28/(C28*2)</f>
        <v>0.17843866171003717</v>
      </c>
    </row>
    <row r="29" spans="1:21" ht="12.75">
      <c r="A29">
        <v>9</v>
      </c>
      <c r="B29" t="s">
        <v>80</v>
      </c>
      <c r="C29" s="15">
        <v>269</v>
      </c>
      <c r="D29" s="11">
        <f>Alaska!F52-Alaska!F39</f>
        <v>0.21875</v>
      </c>
      <c r="E29"/>
      <c r="F29" t="s">
        <v>77</v>
      </c>
      <c r="G29" t="s">
        <v>78</v>
      </c>
      <c r="H29" t="s">
        <v>70</v>
      </c>
      <c r="I29" s="7">
        <f>C29/D29/24</f>
        <v>51.23809523809524</v>
      </c>
      <c r="J29"/>
      <c r="K29" t="s">
        <v>28</v>
      </c>
      <c r="L29" t="s">
        <v>74</v>
      </c>
      <c r="M29" t="s">
        <v>45</v>
      </c>
      <c r="N29">
        <v>0.25</v>
      </c>
      <c r="O29" s="8">
        <f>N29*C29</f>
        <v>67.25</v>
      </c>
      <c r="P29" t="s">
        <v>46</v>
      </c>
      <c r="Q29" s="13">
        <v>96</v>
      </c>
      <c r="R29" s="2" t="s">
        <v>79</v>
      </c>
      <c r="U29" s="14">
        <f>Q29/(C29*2)</f>
        <v>0.17843866171003717</v>
      </c>
    </row>
    <row r="30" spans="1:17" ht="12.75">
      <c r="A30" s="1" t="s">
        <v>81</v>
      </c>
      <c r="B30" s="21"/>
      <c r="C30" s="21"/>
      <c r="D30" s="21"/>
      <c r="E30" s="21"/>
      <c r="F30" s="21"/>
      <c r="G30" s="21"/>
      <c r="H30" s="21"/>
      <c r="J30"/>
      <c r="K30"/>
      <c r="L30"/>
      <c r="M30"/>
      <c r="N30"/>
      <c r="O30"/>
      <c r="P30"/>
      <c r="Q30"/>
    </row>
    <row r="31" spans="1:17" ht="12.75">
      <c r="A31"/>
      <c r="B31"/>
      <c r="C31"/>
      <c r="D31"/>
      <c r="E31"/>
      <c r="F31"/>
      <c r="G31"/>
      <c r="H31"/>
      <c r="I31"/>
      <c r="L31" s="1"/>
      <c r="P31" s="3" t="s">
        <v>82</v>
      </c>
      <c r="Q31" s="3" t="s">
        <v>83</v>
      </c>
    </row>
    <row r="32" spans="1:17" ht="12.75">
      <c r="A32"/>
      <c r="B32"/>
      <c r="C32"/>
      <c r="D32"/>
      <c r="E32"/>
      <c r="F32"/>
      <c r="G32"/>
      <c r="H32"/>
      <c r="I32"/>
      <c r="J32" s="22">
        <f>K32/$K$34</f>
        <v>0.1225893308670436</v>
      </c>
      <c r="K32" s="5">
        <v>107.63</v>
      </c>
      <c r="L32" s="1" t="s">
        <v>23</v>
      </c>
      <c r="M32" s="2" t="s">
        <v>24</v>
      </c>
      <c r="N32" s="2">
        <f>SUM(N2:N15)</f>
        <v>69</v>
      </c>
      <c r="O32" s="2">
        <f>SUM(O2:O15)</f>
        <v>2914.65</v>
      </c>
      <c r="P32" s="23">
        <f>N32/N34</f>
        <v>0.518796992481203</v>
      </c>
      <c r="Q32" s="23">
        <f>O32/O34</f>
        <v>0.1356307615676685</v>
      </c>
    </row>
    <row r="33" spans="1:17" ht="12.75">
      <c r="A33" s="24" t="s">
        <v>84</v>
      </c>
      <c r="B33" s="24"/>
      <c r="C33" s="24"/>
      <c r="D33" s="3" t="s">
        <v>9</v>
      </c>
      <c r="E33" s="3" t="s">
        <v>11</v>
      </c>
      <c r="F33"/>
      <c r="G33"/>
      <c r="J33" s="22">
        <f>K33/$K$34</f>
        <v>0.8774106691329564</v>
      </c>
      <c r="K33" s="25">
        <f>Alaska!A85+Alaska!A80+Alaska!A23</f>
        <v>770.342</v>
      </c>
      <c r="L33" t="s">
        <v>23</v>
      </c>
      <c r="M33" s="2" t="s">
        <v>45</v>
      </c>
      <c r="N33" s="2">
        <f>SUM(N16:N25)</f>
        <v>64</v>
      </c>
      <c r="O33" s="2">
        <f>SUM(O16:O25)</f>
        <v>18574.944</v>
      </c>
      <c r="P33" s="23">
        <f>N33/N34</f>
        <v>0.48120300751879697</v>
      </c>
      <c r="Q33" s="23">
        <f>O33/O34</f>
        <v>0.8643692384323314</v>
      </c>
    </row>
    <row r="34" spans="1:15" ht="12.75">
      <c r="A34" t="s">
        <v>85</v>
      </c>
      <c r="B34" t="s">
        <v>86</v>
      </c>
      <c r="C34"/>
      <c r="D34" s="2" t="s">
        <v>28</v>
      </c>
      <c r="E34" s="2" t="s">
        <v>24</v>
      </c>
      <c r="F34"/>
      <c r="G34"/>
      <c r="H34"/>
      <c r="I34"/>
      <c r="K34" s="2">
        <f>SUM(K32:K33)</f>
        <v>877.972</v>
      </c>
      <c r="L34" t="s">
        <v>23</v>
      </c>
      <c r="M34" t="s">
        <v>87</v>
      </c>
      <c r="N34" s="2">
        <f>N33+N32</f>
        <v>133</v>
      </c>
      <c r="O34" s="2">
        <f>O33+O32</f>
        <v>21489.594</v>
      </c>
    </row>
    <row r="35" spans="1:13" ht="12.75">
      <c r="A35" t="s">
        <v>88</v>
      </c>
      <c r="B35" t="s">
        <v>89</v>
      </c>
      <c r="C35"/>
      <c r="D35" s="2" t="s">
        <v>22</v>
      </c>
      <c r="E35" s="2" t="s">
        <v>24</v>
      </c>
      <c r="F35"/>
      <c r="G35"/>
      <c r="H35"/>
      <c r="I35"/>
      <c r="J35"/>
      <c r="K35"/>
      <c r="L35"/>
      <c r="M35"/>
    </row>
    <row r="36" spans="1:17" ht="12.75">
      <c r="A36" t="s">
        <v>85</v>
      </c>
      <c r="B36" t="s">
        <v>90</v>
      </c>
      <c r="C36"/>
      <c r="D36" s="2" t="s">
        <v>22</v>
      </c>
      <c r="E36" s="2" t="s">
        <v>45</v>
      </c>
      <c r="F36"/>
      <c r="G36" s="6"/>
      <c r="H36"/>
      <c r="I36"/>
      <c r="J36" s="22">
        <f>K36/K33</f>
        <v>0.743571037279546</v>
      </c>
      <c r="K36" s="19">
        <v>572.804</v>
      </c>
      <c r="L36" s="1" t="s">
        <v>74</v>
      </c>
      <c r="M36" s="2" t="s">
        <v>45</v>
      </c>
      <c r="N36" s="2">
        <f>SUM(N26:N29)</f>
        <v>2.5</v>
      </c>
      <c r="O36" s="2">
        <f>SUM(O26:O29)</f>
        <v>1280.5</v>
      </c>
      <c r="P36" s="23">
        <f>N36/N33</f>
        <v>0.0390625</v>
      </c>
      <c r="Q36" s="23">
        <f>O36/O33</f>
        <v>0.06893695076550432</v>
      </c>
    </row>
    <row r="37" spans="1:13" ht="12.75">
      <c r="A37" t="s">
        <v>88</v>
      </c>
      <c r="B37" t="s">
        <v>91</v>
      </c>
      <c r="C37"/>
      <c r="D37" s="2" t="s">
        <v>28</v>
      </c>
      <c r="E37" s="2" t="s">
        <v>45</v>
      </c>
      <c r="F37"/>
      <c r="G37"/>
      <c r="H37"/>
      <c r="I37"/>
      <c r="J37"/>
      <c r="K37"/>
      <c r="L37"/>
      <c r="M37"/>
    </row>
    <row r="38" spans="1:13" ht="12.75">
      <c r="A38" s="21"/>
      <c r="C38" s="21"/>
      <c r="D38"/>
      <c r="E38" s="26"/>
      <c r="F38"/>
      <c r="G38"/>
      <c r="H38"/>
      <c r="I38"/>
      <c r="J38"/>
      <c r="K38"/>
      <c r="L38"/>
      <c r="M38"/>
    </row>
    <row r="39" spans="1:11" ht="12.75">
      <c r="A39"/>
      <c r="B39" s="27" t="s">
        <v>92</v>
      </c>
      <c r="C39"/>
      <c r="D39"/>
      <c r="E39"/>
      <c r="F39"/>
      <c r="G39"/>
      <c r="H39"/>
      <c r="I39"/>
      <c r="J39"/>
      <c r="K39"/>
    </row>
    <row r="40" spans="2:11" ht="12.75">
      <c r="B40" t="s">
        <v>93</v>
      </c>
      <c r="C40"/>
      <c r="D40"/>
      <c r="E40"/>
      <c r="F40" s="26"/>
      <c r="G40"/>
      <c r="H40"/>
      <c r="I40"/>
      <c r="J40"/>
      <c r="K40"/>
    </row>
    <row r="41" spans="2:11" ht="12.75">
      <c r="B41" t="s">
        <v>94</v>
      </c>
      <c r="C41"/>
      <c r="D41"/>
      <c r="E41"/>
      <c r="F41" s="26"/>
      <c r="G41"/>
      <c r="H41"/>
      <c r="I41"/>
      <c r="J41"/>
      <c r="K41"/>
    </row>
    <row r="42" spans="2:11" ht="12.75">
      <c r="B42" t="s">
        <v>95</v>
      </c>
      <c r="C42"/>
      <c r="D42"/>
      <c r="E42"/>
      <c r="F42" s="26"/>
      <c r="G42"/>
      <c r="H42"/>
      <c r="I42"/>
      <c r="J42"/>
      <c r="K42"/>
    </row>
    <row r="43" spans="2:11" ht="12.75">
      <c r="B43" t="s">
        <v>96</v>
      </c>
      <c r="C43"/>
      <c r="D43"/>
      <c r="E43"/>
      <c r="F43" s="26"/>
      <c r="G43"/>
      <c r="H43"/>
      <c r="I43"/>
      <c r="J43"/>
      <c r="K43"/>
    </row>
    <row r="44" spans="2:11" ht="12.75">
      <c r="B44" t="s">
        <v>97</v>
      </c>
      <c r="C44"/>
      <c r="D44"/>
      <c r="E44"/>
      <c r="F44" s="26"/>
      <c r="G44"/>
      <c r="H44"/>
      <c r="I44"/>
      <c r="J44"/>
      <c r="K44"/>
    </row>
    <row r="45" spans="2:11" ht="12.75">
      <c r="B45" s="28" t="s">
        <v>54</v>
      </c>
      <c r="C45"/>
      <c r="D45"/>
      <c r="E45"/>
      <c r="F45" s="26"/>
      <c r="G45"/>
      <c r="H45"/>
      <c r="I45"/>
      <c r="J45"/>
      <c r="K45"/>
    </row>
    <row r="46" spans="2:9" ht="12.75">
      <c r="B46" t="s">
        <v>98</v>
      </c>
      <c r="C46"/>
      <c r="D46"/>
      <c r="E46"/>
      <c r="F46"/>
      <c r="G46" s="6"/>
      <c r="H46"/>
      <c r="I46"/>
    </row>
    <row r="47" spans="2:9" ht="12.75">
      <c r="B47" t="s">
        <v>99</v>
      </c>
      <c r="C47"/>
      <c r="D47"/>
      <c r="E47"/>
      <c r="F47" s="29"/>
      <c r="G47"/>
      <c r="H47"/>
      <c r="I47"/>
    </row>
    <row r="48" spans="2:9" ht="12.75">
      <c r="B48" s="2" t="s">
        <v>100</v>
      </c>
      <c r="C48"/>
      <c r="D48"/>
      <c r="E48"/>
      <c r="F48"/>
      <c r="G48"/>
      <c r="H48"/>
      <c r="I48"/>
    </row>
    <row r="49" spans="2:8" ht="12.75">
      <c r="B49" s="2" t="s">
        <v>101</v>
      </c>
      <c r="E49"/>
      <c r="F49"/>
      <c r="G49"/>
      <c r="H49"/>
    </row>
    <row r="50" spans="5:8" ht="12.75">
      <c r="E50"/>
      <c r="F50" s="26"/>
      <c r="G50"/>
      <c r="H50"/>
    </row>
    <row r="51" ht="12.75">
      <c r="E51"/>
    </row>
    <row r="52" spans="1:11" ht="12.75">
      <c r="A52" s="3" t="s">
        <v>102</v>
      </c>
      <c r="B52" s="30" t="s">
        <v>103</v>
      </c>
      <c r="C52" s="3" t="s">
        <v>2</v>
      </c>
      <c r="D52" s="3" t="s">
        <v>104</v>
      </c>
      <c r="E52" s="3" t="s">
        <v>14</v>
      </c>
      <c r="F52" s="3" t="s">
        <v>105</v>
      </c>
      <c r="G52" s="3" t="s">
        <v>106</v>
      </c>
      <c r="H52" s="3" t="s">
        <v>11</v>
      </c>
      <c r="I52" s="3" t="s">
        <v>107</v>
      </c>
      <c r="J52"/>
      <c r="K52"/>
    </row>
    <row r="53" spans="2:11" s="2" customFormat="1" ht="12.75">
      <c r="B53" s="1" t="s">
        <v>41</v>
      </c>
      <c r="C53" s="20">
        <f>C16</f>
        <v>178.23</v>
      </c>
      <c r="D53" s="2" t="s">
        <v>108</v>
      </c>
      <c r="E53" s="2" t="s">
        <v>46</v>
      </c>
      <c r="F53" s="2" t="s">
        <v>109</v>
      </c>
      <c r="G53" s="2" t="s">
        <v>110</v>
      </c>
      <c r="H53" s="1" t="s">
        <v>111</v>
      </c>
      <c r="I53" s="2" t="s">
        <v>112</v>
      </c>
      <c r="J53"/>
      <c r="K53"/>
    </row>
    <row r="54" spans="1:11" ht="12.75">
      <c r="A54" s="2" t="s">
        <v>113</v>
      </c>
      <c r="B54" t="s">
        <v>114</v>
      </c>
      <c r="C54">
        <v>4</v>
      </c>
      <c r="D54" s="2" t="s">
        <v>108</v>
      </c>
      <c r="E54" s="2" t="s">
        <v>25</v>
      </c>
      <c r="F54" s="2" t="s">
        <v>115</v>
      </c>
      <c r="G54" s="2" t="s">
        <v>116</v>
      </c>
      <c r="H54" s="1" t="s">
        <v>111</v>
      </c>
      <c r="I54" s="2" t="s">
        <v>117</v>
      </c>
      <c r="J54"/>
      <c r="K54"/>
    </row>
    <row r="55" spans="1:11" ht="12.75">
      <c r="A55" s="2" t="s">
        <v>118</v>
      </c>
      <c r="B55" s="26" t="s">
        <v>119</v>
      </c>
      <c r="C55" s="19">
        <f>12*1.609</f>
        <v>19.308</v>
      </c>
      <c r="D55" s="2" t="s">
        <v>120</v>
      </c>
      <c r="E55" s="2" t="s">
        <v>46</v>
      </c>
      <c r="F55" s="2" t="s">
        <v>109</v>
      </c>
      <c r="G55" s="2" t="s">
        <v>110</v>
      </c>
      <c r="H55" s="1" t="s">
        <v>111</v>
      </c>
      <c r="I55" s="2" t="s">
        <v>121</v>
      </c>
      <c r="J55"/>
      <c r="K55"/>
    </row>
    <row r="56" spans="2:11" s="2" customFormat="1" ht="12.75">
      <c r="B56" s="1" t="s">
        <v>51</v>
      </c>
      <c r="C56" s="15">
        <v>573</v>
      </c>
      <c r="D56" s="2" t="s">
        <v>122</v>
      </c>
      <c r="E56" s="2" t="s">
        <v>46</v>
      </c>
      <c r="F56" s="2" t="s">
        <v>109</v>
      </c>
      <c r="G56" s="2" t="s">
        <v>110</v>
      </c>
      <c r="H56" s="1" t="s">
        <v>111</v>
      </c>
      <c r="I56" t="s">
        <v>123</v>
      </c>
      <c r="J56"/>
      <c r="K56"/>
    </row>
    <row r="57" spans="1:11" ht="12.75">
      <c r="A57" s="2" t="s">
        <v>124</v>
      </c>
      <c r="B57" s="1" t="s">
        <v>125</v>
      </c>
      <c r="C57" s="1">
        <v>10</v>
      </c>
      <c r="D57" s="2" t="s">
        <v>122</v>
      </c>
      <c r="E57" s="2" t="s">
        <v>126</v>
      </c>
      <c r="F57" s="2" t="s">
        <v>115</v>
      </c>
      <c r="G57" s="2" t="s">
        <v>116</v>
      </c>
      <c r="H57" s="1" t="s">
        <v>111</v>
      </c>
      <c r="J57"/>
      <c r="K57"/>
    </row>
    <row r="58" spans="1:11" ht="12.75">
      <c r="A58" s="2" t="s">
        <v>127</v>
      </c>
      <c r="B58" s="19" t="s">
        <v>128</v>
      </c>
      <c r="C58" s="8">
        <v>40</v>
      </c>
      <c r="D58" s="2" t="s">
        <v>122</v>
      </c>
      <c r="E58"/>
      <c r="G58" s="2" t="s">
        <v>116</v>
      </c>
      <c r="H58" s="1" t="s">
        <v>111</v>
      </c>
      <c r="I58" s="2" t="s">
        <v>129</v>
      </c>
      <c r="J58"/>
      <c r="K58"/>
    </row>
    <row r="59" spans="1:11" ht="12.75">
      <c r="A59" s="2" t="s">
        <v>130</v>
      </c>
      <c r="B59" t="s">
        <v>131</v>
      </c>
      <c r="C59" s="8">
        <v>2.75</v>
      </c>
      <c r="D59" s="2" t="s">
        <v>122</v>
      </c>
      <c r="E59" s="2" t="s">
        <v>126</v>
      </c>
      <c r="F59" s="2" t="s">
        <v>132</v>
      </c>
      <c r="G59" s="2" t="s">
        <v>116</v>
      </c>
      <c r="H59" s="1" t="s">
        <v>111</v>
      </c>
      <c r="I59" t="s">
        <v>133</v>
      </c>
      <c r="J59"/>
      <c r="K59"/>
    </row>
    <row r="60" spans="1:11" ht="12.75">
      <c r="A60" s="2" t="s">
        <v>134</v>
      </c>
      <c r="B60" s="2" t="s">
        <v>135</v>
      </c>
      <c r="C60" s="2">
        <v>16</v>
      </c>
      <c r="D60" s="2" t="s">
        <v>122</v>
      </c>
      <c r="E60" s="2" t="s">
        <v>126</v>
      </c>
      <c r="F60" s="2" t="s">
        <v>115</v>
      </c>
      <c r="G60" s="2" t="s">
        <v>116</v>
      </c>
      <c r="H60" s="1" t="s">
        <v>111</v>
      </c>
      <c r="J60"/>
      <c r="K60"/>
    </row>
    <row r="61" spans="1:11" ht="12.75">
      <c r="A61" s="2" t="s">
        <v>136</v>
      </c>
      <c r="B61" t="s">
        <v>137</v>
      </c>
      <c r="C61" s="2">
        <v>45</v>
      </c>
      <c r="D61" s="2" t="s">
        <v>122</v>
      </c>
      <c r="E61" s="2" t="s">
        <v>138</v>
      </c>
      <c r="F61" s="2" t="s">
        <v>115</v>
      </c>
      <c r="G61" s="2" t="s">
        <v>116</v>
      </c>
      <c r="H61" s="1" t="s">
        <v>111</v>
      </c>
      <c r="J61"/>
      <c r="K61"/>
    </row>
    <row r="62" spans="1:11" ht="12.75">
      <c r="A62" s="2" t="s">
        <v>139</v>
      </c>
      <c r="B62" s="2" t="s">
        <v>140</v>
      </c>
      <c r="C62" s="2">
        <v>113</v>
      </c>
      <c r="D62" s="2" t="s">
        <v>122</v>
      </c>
      <c r="E62"/>
      <c r="G62" s="2" t="s">
        <v>116</v>
      </c>
      <c r="H62" s="1" t="s">
        <v>111</v>
      </c>
      <c r="I62" s="2" t="s">
        <v>129</v>
      </c>
      <c r="J62"/>
      <c r="K62"/>
    </row>
    <row r="63" spans="2:11" s="2" customFormat="1" ht="12.75">
      <c r="B63" s="2" t="s">
        <v>34</v>
      </c>
      <c r="C63" s="5">
        <v>31.83</v>
      </c>
      <c r="D63" s="2" t="s">
        <v>141</v>
      </c>
      <c r="E63" s="2" t="s">
        <v>25</v>
      </c>
      <c r="F63" s="2" t="s">
        <v>109</v>
      </c>
      <c r="G63" s="2" t="s">
        <v>110</v>
      </c>
      <c r="H63" s="1" t="s">
        <v>142</v>
      </c>
      <c r="J63"/>
      <c r="K63"/>
    </row>
    <row r="64" spans="2:11" s="2" customFormat="1" ht="12.75">
      <c r="B64" s="2" t="s">
        <v>143</v>
      </c>
      <c r="C64" s="2">
        <f>108-C63</f>
        <v>76.17</v>
      </c>
      <c r="D64" s="2" t="s">
        <v>144</v>
      </c>
      <c r="E64" s="2" t="s">
        <v>25</v>
      </c>
      <c r="F64" s="2" t="s">
        <v>109</v>
      </c>
      <c r="G64" s="2" t="s">
        <v>110</v>
      </c>
      <c r="H64" s="1" t="s">
        <v>142</v>
      </c>
      <c r="I64" s="2" t="s">
        <v>145</v>
      </c>
      <c r="J64"/>
      <c r="K64"/>
    </row>
    <row r="65" spans="1:11" ht="12.75">
      <c r="A65"/>
      <c r="B65" s="2" t="s">
        <v>146</v>
      </c>
      <c r="C65" s="18">
        <v>69</v>
      </c>
      <c r="D65" s="2" t="s">
        <v>144</v>
      </c>
      <c r="E65"/>
      <c r="G65" s="2" t="s">
        <v>110</v>
      </c>
      <c r="H65" s="1" t="s">
        <v>142</v>
      </c>
      <c r="I65" s="2" t="s">
        <v>147</v>
      </c>
      <c r="J65"/>
      <c r="K65"/>
    </row>
    <row r="66" ht="12.75">
      <c r="A66" s="1" t="s">
        <v>148</v>
      </c>
    </row>
    <row r="67" ht="12.75">
      <c r="A67" t="s">
        <v>149</v>
      </c>
    </row>
    <row r="68" spans="5:9" ht="12.75">
      <c r="E68"/>
      <c r="F68"/>
      <c r="G68"/>
      <c r="H68"/>
      <c r="I68"/>
    </row>
    <row r="69" spans="1:256" ht="12.75">
      <c r="A69" s="22">
        <f>C69/C71</f>
        <v>0.9638343949334066</v>
      </c>
      <c r="B69" s="2" t="s">
        <v>45</v>
      </c>
      <c r="C69" s="5">
        <f>SUM(C53:C57,C59:C61)</f>
        <v>848.288</v>
      </c>
      <c r="D69"/>
      <c r="E69" t="s">
        <v>150</v>
      </c>
      <c r="G69" s="2" t="s">
        <v>151</v>
      </c>
      <c r="H69" s="2" t="s">
        <v>14</v>
      </c>
      <c r="I69" s="2" t="s">
        <v>104</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 r="A70" s="22">
        <f>1-A69</f>
        <v>0.03616560506659339</v>
      </c>
      <c r="B70" s="2" t="s">
        <v>24</v>
      </c>
      <c r="C70" s="8">
        <f>SUM(C63:C65)</f>
        <v>177</v>
      </c>
      <c r="D70"/>
      <c r="E70">
        <v>51.65</v>
      </c>
      <c r="F70" t="s">
        <v>152</v>
      </c>
      <c r="G70" t="s">
        <v>153</v>
      </c>
      <c r="H70" t="s">
        <v>154</v>
      </c>
      <c r="I70" s="2" t="s">
        <v>122</v>
      </c>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2.75">
      <c r="A71" s="22">
        <f>1-A72</f>
        <v>0.8519046227052476</v>
      </c>
      <c r="B71" t="s">
        <v>155</v>
      </c>
      <c r="C71" s="5">
        <f>C69+C63</f>
        <v>880.118</v>
      </c>
      <c r="D71"/>
      <c r="E71">
        <v>273.37</v>
      </c>
      <c r="F71" t="s">
        <v>156</v>
      </c>
      <c r="G71" t="s">
        <v>157</v>
      </c>
      <c r="H71" t="s">
        <v>126</v>
      </c>
      <c r="I71" s="2" t="s">
        <v>122</v>
      </c>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75">
      <c r="A72" s="22">
        <f>C72/C73</f>
        <v>0.1480953772947524</v>
      </c>
      <c r="B72" t="s">
        <v>129</v>
      </c>
      <c r="C72" s="8">
        <f>C62+C58</f>
        <v>153</v>
      </c>
      <c r="D72"/>
      <c r="E72">
        <v>375.06</v>
      </c>
      <c r="F72" t="s">
        <v>158</v>
      </c>
      <c r="G72" t="s">
        <v>159</v>
      </c>
      <c r="H72" t="s">
        <v>126</v>
      </c>
      <c r="I72" s="2" t="s">
        <v>122</v>
      </c>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9" ht="12.75">
      <c r="B73" s="2" t="s">
        <v>160</v>
      </c>
      <c r="C73" s="31">
        <f>C72+C71</f>
        <v>1033.118</v>
      </c>
      <c r="E73">
        <v>385.03</v>
      </c>
      <c r="F73" t="s">
        <v>161</v>
      </c>
      <c r="G73" t="s">
        <v>162</v>
      </c>
      <c r="H73" t="s">
        <v>163</v>
      </c>
      <c r="I73" s="2" t="s">
        <v>122</v>
      </c>
    </row>
    <row r="74" spans="5:9" ht="12.75">
      <c r="E74">
        <v>389.22</v>
      </c>
      <c r="F74" s="2" t="s">
        <v>164</v>
      </c>
      <c r="G74" s="2" t="s">
        <v>165</v>
      </c>
      <c r="H74" s="2" t="s">
        <v>163</v>
      </c>
      <c r="I74" s="2" t="s">
        <v>122</v>
      </c>
    </row>
    <row r="75" spans="1:9" ht="12.75">
      <c r="A75" s="32">
        <f>C75/C69</f>
        <v>0.21482090987966349</v>
      </c>
      <c r="B75" s="2" t="s">
        <v>108</v>
      </c>
      <c r="C75" s="2">
        <f>C54+C53</f>
        <v>182.23</v>
      </c>
      <c r="E75">
        <v>481.73</v>
      </c>
      <c r="F75" s="2" t="s">
        <v>166</v>
      </c>
      <c r="G75" s="2" t="s">
        <v>167</v>
      </c>
      <c r="H75" s="2" t="s">
        <v>25</v>
      </c>
      <c r="I75" s="2" t="s">
        <v>122</v>
      </c>
    </row>
    <row r="76" spans="1:9" ht="12.75">
      <c r="A76" s="32">
        <f>C76/C69</f>
        <v>0.022761137726809762</v>
      </c>
      <c r="B76" s="2" t="s">
        <v>120</v>
      </c>
      <c r="C76" s="2">
        <f>C55</f>
        <v>19.308</v>
      </c>
      <c r="E76"/>
      <c r="F76"/>
      <c r="G76"/>
      <c r="H76"/>
      <c r="I76"/>
    </row>
    <row r="77" spans="1:9" ht="12.75">
      <c r="A77" s="32">
        <f>C77/C69</f>
        <v>0.7624179523935267</v>
      </c>
      <c r="B77" s="2" t="s">
        <v>122</v>
      </c>
      <c r="C77" s="2">
        <f>SUM(C56:C57,C59:C61)</f>
        <v>646.75</v>
      </c>
      <c r="E77" t="s">
        <v>168</v>
      </c>
      <c r="F77"/>
      <c r="G77"/>
      <c r="H77"/>
      <c r="I77"/>
    </row>
    <row r="78" spans="5:9" ht="12.75">
      <c r="E78">
        <v>80.45</v>
      </c>
      <c r="F78" s="2" t="s">
        <v>169</v>
      </c>
      <c r="G78" s="2" t="s">
        <v>170</v>
      </c>
      <c r="H78" s="2" t="s">
        <v>163</v>
      </c>
      <c r="I78" s="2" t="s">
        <v>108</v>
      </c>
    </row>
    <row r="79" spans="1:9" ht="12.75">
      <c r="A79" s="23">
        <f>C79/C70</f>
        <v>0.17983050847457627</v>
      </c>
      <c r="B79" s="2" t="s">
        <v>141</v>
      </c>
      <c r="C79" s="2">
        <f>C63</f>
        <v>31.83</v>
      </c>
      <c r="D79"/>
      <c r="I79"/>
    </row>
    <row r="80" spans="1:9" ht="12.75">
      <c r="A80" s="23">
        <f>C80/C70</f>
        <v>0.8201694915254238</v>
      </c>
      <c r="B80" s="2" t="s">
        <v>144</v>
      </c>
      <c r="C80" s="2">
        <f>C64+C65</f>
        <v>145.17000000000002</v>
      </c>
      <c r="D80"/>
      <c r="E80"/>
      <c r="F80"/>
      <c r="G80"/>
      <c r="H80"/>
      <c r="I80"/>
    </row>
    <row r="81" ht="12.75">
      <c r="E81"/>
    </row>
    <row r="82" ht="12.75">
      <c r="A82" s="1" t="s">
        <v>171</v>
      </c>
    </row>
    <row r="83" spans="1:5" ht="12.75">
      <c r="A83" s="1" t="s">
        <v>172</v>
      </c>
      <c r="B83" s="2" t="s">
        <v>173</v>
      </c>
      <c r="D83" s="2" t="s">
        <v>2</v>
      </c>
      <c r="E83" s="2" t="s">
        <v>174</v>
      </c>
    </row>
    <row r="84" spans="1:5" ht="12.75">
      <c r="A84" s="1">
        <v>5</v>
      </c>
      <c r="B84" s="6">
        <f>(1/24)/A84</f>
        <v>0.008333333333333333</v>
      </c>
      <c r="D84" s="2">
        <v>0.1</v>
      </c>
      <c r="E84" s="2">
        <f>D84*1000</f>
        <v>100</v>
      </c>
    </row>
    <row r="85" spans="1:5" ht="12.75">
      <c r="A85" s="1">
        <v>10</v>
      </c>
      <c r="B85" s="6">
        <f>(1/24)/A85</f>
        <v>0.004166666666666667</v>
      </c>
      <c r="D85" s="2">
        <v>0.2</v>
      </c>
      <c r="E85" s="2">
        <f>D85*1000</f>
        <v>200</v>
      </c>
    </row>
    <row r="86" spans="1:5" ht="12.75">
      <c r="A86" s="1">
        <v>15</v>
      </c>
      <c r="B86" s="6">
        <f>(1/24)/A86</f>
        <v>0.0027777777777777775</v>
      </c>
      <c r="D86" s="2">
        <v>0.30000000000000004</v>
      </c>
      <c r="E86" s="2">
        <f>D86*1000</f>
        <v>300.00000000000006</v>
      </c>
    </row>
    <row r="87" spans="1:5" ht="12.75">
      <c r="A87" s="1">
        <v>20</v>
      </c>
      <c r="B87" s="6">
        <f>(1/24)/A87</f>
        <v>0.0020833333333333333</v>
      </c>
      <c r="D87" s="2">
        <v>0.4</v>
      </c>
      <c r="E87" s="2">
        <f>D87*1000</f>
        <v>400</v>
      </c>
    </row>
    <row r="88" spans="1:5" ht="12.75">
      <c r="A88" s="1">
        <v>25</v>
      </c>
      <c r="B88" s="6">
        <f>(1/24)/A88</f>
        <v>0.0016666666666666666</v>
      </c>
      <c r="D88" s="2">
        <v>0.5</v>
      </c>
      <c r="E88" s="2">
        <f>D88*1000</f>
        <v>500</v>
      </c>
    </row>
    <row r="89" spans="1:5" ht="12.75">
      <c r="A89" s="1">
        <v>30</v>
      </c>
      <c r="B89" s="6">
        <f>(1/24)/A89</f>
        <v>0.0013888888888888887</v>
      </c>
      <c r="D89" s="2">
        <v>0.6</v>
      </c>
      <c r="E89" s="2">
        <f>D89*1000</f>
        <v>600</v>
      </c>
    </row>
    <row r="90" spans="1:5" ht="12.75">
      <c r="A90" s="1">
        <v>35</v>
      </c>
      <c r="B90" s="6">
        <f>(1/24)/A90</f>
        <v>0.0011904761904761904</v>
      </c>
      <c r="D90" s="2">
        <v>0.7</v>
      </c>
      <c r="E90" s="2">
        <f>D90*1000</f>
        <v>700</v>
      </c>
    </row>
    <row r="91" spans="1:5" ht="12.75">
      <c r="A91" s="1">
        <v>40</v>
      </c>
      <c r="B91" s="6">
        <f>(1/24)/A91</f>
        <v>0.0010416666666666667</v>
      </c>
      <c r="D91" s="2">
        <v>0.8</v>
      </c>
      <c r="E91" s="2">
        <f>D91*1000</f>
        <v>800</v>
      </c>
    </row>
    <row r="92" spans="1:5" ht="12.75">
      <c r="A92" s="1">
        <v>45</v>
      </c>
      <c r="B92" s="6">
        <f>(1/24)/A92</f>
        <v>0.0009259259259259259</v>
      </c>
      <c r="D92" s="2">
        <v>0.9</v>
      </c>
      <c r="E92" s="2">
        <f>D92*1000</f>
        <v>900</v>
      </c>
    </row>
    <row r="93" spans="1:5" ht="12.75">
      <c r="A93" s="1">
        <v>50</v>
      </c>
      <c r="B93" s="6">
        <f>(1/24)/A93</f>
        <v>0.0008333333333333333</v>
      </c>
      <c r="D93" s="2">
        <v>1</v>
      </c>
      <c r="E93" s="2">
        <f>D93*1000</f>
        <v>1000</v>
      </c>
    </row>
    <row r="94" spans="1:4" ht="12.75">
      <c r="A94" s="1">
        <v>55</v>
      </c>
      <c r="B94" s="6">
        <f>(1/24)/A94</f>
        <v>0.0007575757575757576</v>
      </c>
      <c r="D94"/>
    </row>
    <row r="95" spans="1:6" ht="12.75">
      <c r="A95" s="1">
        <v>60</v>
      </c>
      <c r="B95" s="6">
        <f>(1/24)/A95</f>
        <v>0.0006944444444444444</v>
      </c>
      <c r="D95" s="6"/>
      <c r="F95" s="33"/>
    </row>
    <row r="96" spans="1:6" ht="12.75">
      <c r="A96" s="1">
        <v>65</v>
      </c>
      <c r="B96" s="6">
        <f>(1/24)/A96</f>
        <v>0.000641025641025641</v>
      </c>
      <c r="D96"/>
      <c r="F96" s="34"/>
    </row>
    <row r="97" spans="1:2" ht="12.75">
      <c r="A97" s="1">
        <v>70</v>
      </c>
      <c r="B97" s="6">
        <f>(1/24)/A97</f>
        <v>0.0005952380952380952</v>
      </c>
    </row>
    <row r="98" spans="1:2" ht="12.75">
      <c r="A98" s="1">
        <v>75</v>
      </c>
      <c r="B98" s="6">
        <f>(1/24)/A98</f>
        <v>0.0005555555555555556</v>
      </c>
    </row>
    <row r="99" spans="1:2" ht="12.75">
      <c r="A99" s="1">
        <v>80</v>
      </c>
      <c r="B99" s="6">
        <f>(1/24)/A99</f>
        <v>0.0005208333333333333</v>
      </c>
    </row>
    <row r="100" spans="1:2" ht="12.75">
      <c r="A100" s="1" t="s">
        <v>175</v>
      </c>
      <c r="B100"/>
    </row>
    <row r="101" spans="1:2" ht="12.75">
      <c r="A101"/>
      <c r="B101"/>
    </row>
    <row r="102" ht="12.75">
      <c r="B102"/>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2.xml><?xml version="1.0" encoding="utf-8"?>
<worksheet xmlns="http://schemas.openxmlformats.org/spreadsheetml/2006/main" xmlns:r="http://schemas.openxmlformats.org/officeDocument/2006/relationships">
  <dimension ref="A1:IS130"/>
  <sheetViews>
    <sheetView zoomScale="80" zoomScaleNormal="80" workbookViewId="0" topLeftCell="A1">
      <selection activeCell="A1" sqref="A1"/>
    </sheetView>
  </sheetViews>
  <sheetFormatPr defaultColWidth="12.57421875" defaultRowHeight="12.75"/>
  <cols>
    <col min="1" max="1" width="6.421875" style="25" customWidth="1"/>
    <col min="2" max="2" width="6.421875" style="0" customWidth="1"/>
    <col min="3" max="3" width="21.140625" style="25" customWidth="1"/>
    <col min="4" max="4" width="2.140625" style="25" customWidth="1"/>
    <col min="5" max="253" width="11.57421875" style="25" customWidth="1"/>
    <col min="254" max="16384" width="11.57421875" style="0" customWidth="1"/>
  </cols>
  <sheetData>
    <row r="1" spans="1:24" ht="12.75">
      <c r="A1" s="27">
        <v>2015</v>
      </c>
      <c r="C1"/>
      <c r="D1" s="26"/>
      <c r="E1">
        <v>10</v>
      </c>
      <c r="F1">
        <v>10</v>
      </c>
      <c r="G1"/>
      <c r="H1" s="35">
        <v>2</v>
      </c>
      <c r="I1"/>
      <c r="J1" s="35">
        <v>4</v>
      </c>
      <c r="K1"/>
      <c r="L1"/>
      <c r="M1"/>
      <c r="N1"/>
      <c r="O1"/>
      <c r="P1"/>
      <c r="Q1"/>
      <c r="R1"/>
      <c r="S1"/>
      <c r="T1"/>
      <c r="U1"/>
      <c r="V1"/>
      <c r="W1"/>
      <c r="X1"/>
    </row>
    <row r="2" spans="1:24" ht="12.75">
      <c r="A2" s="36" t="s">
        <v>2</v>
      </c>
      <c r="B2" s="37" t="s">
        <v>176</v>
      </c>
      <c r="C2" s="38" t="s">
        <v>177</v>
      </c>
      <c r="D2" s="26"/>
      <c r="E2" s="39" t="s">
        <v>178</v>
      </c>
      <c r="F2" s="40" t="s">
        <v>77</v>
      </c>
      <c r="G2"/>
      <c r="H2" s="37" t="s">
        <v>49</v>
      </c>
      <c r="I2" s="40" t="s">
        <v>54</v>
      </c>
      <c r="J2" s="40" t="s">
        <v>68</v>
      </c>
      <c r="K2"/>
      <c r="L2"/>
      <c r="M2"/>
      <c r="N2"/>
      <c r="O2"/>
      <c r="P2"/>
      <c r="Q2"/>
      <c r="R2"/>
      <c r="S2"/>
      <c r="T2"/>
      <c r="U2"/>
      <c r="V2"/>
      <c r="W2"/>
      <c r="X2"/>
    </row>
    <row r="3" spans="3:24" ht="12.75">
      <c r="C3" s="41" t="s">
        <v>179</v>
      </c>
      <c r="D3" s="26"/>
      <c r="E3" s="42" t="s">
        <v>73</v>
      </c>
      <c r="F3" s="40" t="s">
        <v>78</v>
      </c>
      <c r="G3"/>
      <c r="H3" s="29" t="s">
        <v>50</v>
      </c>
      <c r="I3" s="29" t="s">
        <v>55</v>
      </c>
      <c r="J3" s="43" t="s">
        <v>69</v>
      </c>
      <c r="K3"/>
      <c r="L3"/>
      <c r="M3"/>
      <c r="N3"/>
      <c r="O3"/>
      <c r="P3"/>
      <c r="Q3"/>
      <c r="R3"/>
      <c r="S3"/>
      <c r="T3"/>
      <c r="U3"/>
      <c r="V3"/>
      <c r="W3"/>
      <c r="X3"/>
    </row>
    <row r="4" spans="3:24" ht="12.75">
      <c r="C4" s="26"/>
      <c r="D4" s="26"/>
      <c r="E4" s="42" t="s">
        <v>63</v>
      </c>
      <c r="F4" s="42" t="s">
        <v>70</v>
      </c>
      <c r="G4"/>
      <c r="H4" s="39" t="s">
        <v>44</v>
      </c>
      <c r="I4" s="37" t="s">
        <v>56</v>
      </c>
      <c r="J4" s="42" t="s">
        <v>70</v>
      </c>
      <c r="K4"/>
      <c r="L4"/>
      <c r="M4"/>
      <c r="N4"/>
      <c r="O4"/>
      <c r="P4"/>
      <c r="Q4"/>
      <c r="R4"/>
      <c r="S4"/>
      <c r="T4"/>
      <c r="U4"/>
      <c r="V4"/>
      <c r="W4"/>
      <c r="X4"/>
    </row>
    <row r="5" spans="1:24" ht="12.75">
      <c r="A5" s="19">
        <v>0</v>
      </c>
      <c r="B5" s="8">
        <f>0.3048*38</f>
        <v>11.5824</v>
      </c>
      <c r="C5" s="26" t="s">
        <v>122</v>
      </c>
      <c r="D5" s="26" t="s">
        <v>130</v>
      </c>
      <c r="E5" s="44">
        <v>0.3541666666666667</v>
      </c>
      <c r="F5" s="44">
        <v>0.3541666666666667</v>
      </c>
      <c r="G5"/>
      <c r="H5" s="44">
        <v>0.34375</v>
      </c>
      <c r="I5" s="44">
        <v>0.3854166666666667</v>
      </c>
      <c r="J5" s="35"/>
      <c r="K5"/>
      <c r="L5"/>
      <c r="M5"/>
      <c r="N5"/>
      <c r="O5"/>
      <c r="P5"/>
      <c r="Q5"/>
      <c r="R5"/>
      <c r="S5"/>
      <c r="T5"/>
      <c r="U5"/>
      <c r="V5"/>
      <c r="W5"/>
      <c r="X5"/>
    </row>
    <row r="6" spans="1:24" ht="12.75">
      <c r="A6" s="19">
        <f>A7</f>
        <v>73.2095</v>
      </c>
      <c r="B6" s="8">
        <f>0.3048*339</f>
        <v>103.3272</v>
      </c>
      <c r="C6" t="s">
        <v>180</v>
      </c>
      <c r="D6" s="44" t="s">
        <v>124</v>
      </c>
      <c r="E6" s="44">
        <f>E7</f>
        <v>0.4097222222222222</v>
      </c>
      <c r="F6" s="44">
        <f>F7</f>
        <v>0.4097222222222222</v>
      </c>
      <c r="G6"/>
      <c r="H6" s="44">
        <v>0.3958333333333333</v>
      </c>
      <c r="I6" s="37" t="s">
        <v>181</v>
      </c>
      <c r="J6" s="35"/>
      <c r="K6"/>
      <c r="L6"/>
      <c r="M6"/>
      <c r="N6"/>
      <c r="O6"/>
      <c r="P6"/>
      <c r="Q6"/>
      <c r="R6"/>
      <c r="S6"/>
      <c r="T6"/>
      <c r="U6" s="6"/>
      <c r="V6"/>
      <c r="W6"/>
      <c r="X6"/>
    </row>
    <row r="7" spans="1:24" ht="12.75">
      <c r="A7" s="19">
        <v>73.2095</v>
      </c>
      <c r="B7" s="8">
        <f>B6</f>
        <v>103.3272</v>
      </c>
      <c r="C7" s="26" t="s">
        <v>180</v>
      </c>
      <c r="D7" t="s">
        <v>130</v>
      </c>
      <c r="E7" s="44">
        <v>0.4097222222222222</v>
      </c>
      <c r="F7" s="44">
        <v>0.4097222222222222</v>
      </c>
      <c r="G7"/>
      <c r="H7" s="45" t="s">
        <v>182</v>
      </c>
      <c r="I7" s="37" t="s">
        <v>181</v>
      </c>
      <c r="J7"/>
      <c r="K7"/>
      <c r="L7"/>
      <c r="M7"/>
      <c r="N7"/>
      <c r="O7"/>
      <c r="P7"/>
      <c r="Q7"/>
      <c r="R7"/>
      <c r="S7"/>
      <c r="T7"/>
      <c r="U7" s="6"/>
      <c r="V7"/>
      <c r="W7"/>
      <c r="X7"/>
    </row>
    <row r="8" spans="1:24" ht="12.75">
      <c r="A8" s="19">
        <v>180.8516</v>
      </c>
      <c r="B8" s="8">
        <f>0.3048*354</f>
        <v>107.89920000000001</v>
      </c>
      <c r="C8" s="26" t="s">
        <v>183</v>
      </c>
      <c r="D8" s="26" t="s">
        <v>124</v>
      </c>
      <c r="E8" s="44">
        <f>E9</f>
        <v>0.4756944444444444</v>
      </c>
      <c r="F8" s="44">
        <f>F9</f>
        <v>0.4756944444444444</v>
      </c>
      <c r="G8"/>
      <c r="H8" s="44">
        <v>0.4618055555555556</v>
      </c>
      <c r="I8" s="44">
        <v>0.5</v>
      </c>
      <c r="J8"/>
      <c r="K8"/>
      <c r="L8"/>
      <c r="M8"/>
      <c r="N8"/>
      <c r="O8"/>
      <c r="P8"/>
      <c r="Q8"/>
      <c r="R8" s="6"/>
      <c r="S8"/>
      <c r="T8"/>
      <c r="U8"/>
      <c r="V8"/>
      <c r="W8"/>
      <c r="X8"/>
    </row>
    <row r="9" spans="1:24" ht="12.75">
      <c r="A9" s="19">
        <v>180.8516</v>
      </c>
      <c r="B9" s="8">
        <f>B8</f>
        <v>107.89920000000001</v>
      </c>
      <c r="C9" s="26" t="s">
        <v>183</v>
      </c>
      <c r="D9" s="26" t="s">
        <v>130</v>
      </c>
      <c r="E9" s="44">
        <v>0.4756944444444444</v>
      </c>
      <c r="F9" s="44">
        <v>0.4756944444444444</v>
      </c>
      <c r="G9"/>
      <c r="H9" s="44">
        <v>0.4722222222222222</v>
      </c>
      <c r="I9" s="44">
        <v>0.5</v>
      </c>
      <c r="J9" s="44">
        <v>0.53125</v>
      </c>
      <c r="K9"/>
      <c r="L9"/>
      <c r="M9"/>
      <c r="N9"/>
      <c r="O9"/>
      <c r="P9"/>
      <c r="Q9"/>
      <c r="R9"/>
      <c r="S9"/>
      <c r="T9"/>
      <c r="U9"/>
      <c r="V9"/>
      <c r="W9"/>
      <c r="X9"/>
    </row>
    <row r="10" spans="1:24" ht="12.75">
      <c r="A10" s="19">
        <v>196.1371</v>
      </c>
      <c r="B10" s="8">
        <f>0.3048*461</f>
        <v>140.5128</v>
      </c>
      <c r="C10" s="26" t="s">
        <v>184</v>
      </c>
      <c r="D10" s="46" t="s">
        <v>185</v>
      </c>
      <c r="E10" s="44">
        <v>0.4930555555555556</v>
      </c>
      <c r="F10" s="44">
        <f>E10</f>
        <v>0.4930555555555556</v>
      </c>
      <c r="G10"/>
      <c r="H10" s="37" t="s">
        <v>181</v>
      </c>
      <c r="I10" s="37" t="s">
        <v>181</v>
      </c>
      <c r="J10" s="44">
        <v>0.5416666666666666</v>
      </c>
      <c r="K10"/>
      <c r="L10"/>
      <c r="M10"/>
      <c r="N10"/>
      <c r="O10"/>
      <c r="P10"/>
      <c r="Q10"/>
      <c r="R10"/>
      <c r="S10"/>
      <c r="T10"/>
      <c r="U10"/>
      <c r="V10"/>
      <c r="W10"/>
      <c r="X10"/>
    </row>
    <row r="11" spans="1:24" ht="12.75">
      <c r="A11" s="19">
        <v>215.9278</v>
      </c>
      <c r="B11" s="8">
        <f>0.3048*546</f>
        <v>166.4208</v>
      </c>
      <c r="C11" s="26" t="s">
        <v>186</v>
      </c>
      <c r="D11" s="46" t="s">
        <v>185</v>
      </c>
      <c r="E11" s="44">
        <v>0.5069444444444444</v>
      </c>
      <c r="F11" s="44">
        <f>E11</f>
        <v>0.5069444444444444</v>
      </c>
      <c r="G11"/>
      <c r="H11" s="37" t="s">
        <v>181</v>
      </c>
      <c r="I11" s="37" t="s">
        <v>181</v>
      </c>
      <c r="J11" s="44">
        <v>0.5555555555555556</v>
      </c>
      <c r="K11"/>
      <c r="L11"/>
      <c r="M11"/>
      <c r="N11"/>
      <c r="O11"/>
      <c r="P11"/>
      <c r="Q11"/>
      <c r="R11"/>
      <c r="S11"/>
      <c r="T11"/>
      <c r="U11"/>
      <c r="V11"/>
      <c r="W11"/>
      <c r="X11"/>
    </row>
    <row r="12" spans="1:24" ht="12.75">
      <c r="A12" s="47">
        <v>219.74</v>
      </c>
      <c r="B12" s="18">
        <v>172.31</v>
      </c>
      <c r="C12" t="s">
        <v>187</v>
      </c>
      <c r="D12" s="46" t="s">
        <v>185</v>
      </c>
      <c r="E12" s="44">
        <v>0.5159722222222223</v>
      </c>
      <c r="F12" s="44">
        <f>E12</f>
        <v>0.5159722222222223</v>
      </c>
      <c r="G12"/>
      <c r="H12" s="37" t="s">
        <v>181</v>
      </c>
      <c r="I12" s="37" t="s">
        <v>181</v>
      </c>
      <c r="J12" s="48">
        <v>0.5625</v>
      </c>
      <c r="K12"/>
      <c r="L12"/>
      <c r="M12"/>
      <c r="N12"/>
      <c r="O12"/>
      <c r="P12"/>
      <c r="Q12"/>
      <c r="R12"/>
      <c r="S12"/>
      <c r="T12"/>
      <c r="U12"/>
      <c r="V12"/>
      <c r="W12"/>
      <c r="X12"/>
    </row>
    <row r="13" spans="1:24" ht="12.75">
      <c r="A13" s="19">
        <v>230.7306</v>
      </c>
      <c r="B13" s="8">
        <f>0.3048*621</f>
        <v>189.2808</v>
      </c>
      <c r="C13" s="26" t="s">
        <v>188</v>
      </c>
      <c r="D13" s="46" t="s">
        <v>185</v>
      </c>
      <c r="E13" s="44">
        <v>0.5208333333333334</v>
      </c>
      <c r="F13" s="44">
        <f>E13</f>
        <v>0.5208333333333334</v>
      </c>
      <c r="G13"/>
      <c r="H13" s="37" t="s">
        <v>181</v>
      </c>
      <c r="I13" s="37" t="s">
        <v>181</v>
      </c>
      <c r="J13" s="44">
        <v>0.5659722222222222</v>
      </c>
      <c r="K13"/>
      <c r="L13"/>
      <c r="M13"/>
      <c r="N13"/>
      <c r="O13"/>
      <c r="P13"/>
      <c r="Q13"/>
      <c r="R13"/>
      <c r="S13"/>
      <c r="T13"/>
      <c r="U13"/>
      <c r="V13"/>
      <c r="W13"/>
      <c r="X13"/>
    </row>
    <row r="14" spans="1:24" ht="12.75">
      <c r="A14" s="19">
        <v>239.5801</v>
      </c>
      <c r="B14" s="8">
        <f>0.3048*731</f>
        <v>222.80880000000002</v>
      </c>
      <c r="C14" s="26" t="s">
        <v>189</v>
      </c>
      <c r="D14" s="46" t="s">
        <v>185</v>
      </c>
      <c r="E14" s="44">
        <v>0.5277777777777778</v>
      </c>
      <c r="F14" s="44">
        <f>E14</f>
        <v>0.5277777777777778</v>
      </c>
      <c r="G14"/>
      <c r="H14" s="37" t="s">
        <v>181</v>
      </c>
      <c r="I14" s="37" t="s">
        <v>181</v>
      </c>
      <c r="J14" s="44">
        <v>0.5833333333333334</v>
      </c>
      <c r="K14"/>
      <c r="L14"/>
      <c r="M14"/>
      <c r="N14"/>
      <c r="O14"/>
      <c r="P14"/>
      <c r="Q14"/>
      <c r="R14"/>
      <c r="S14"/>
      <c r="T14"/>
      <c r="U14"/>
      <c r="V14"/>
      <c r="W14"/>
      <c r="X14"/>
    </row>
    <row r="15" spans="1:24" ht="12.75">
      <c r="A15" s="19">
        <v>247.9469</v>
      </c>
      <c r="B15" s="8">
        <f>0.3048*879</f>
        <v>267.9192</v>
      </c>
      <c r="C15" s="26" t="s">
        <v>190</v>
      </c>
      <c r="D15" s="46" t="s">
        <v>185</v>
      </c>
      <c r="E15" s="44">
        <v>0.5451388888888888</v>
      </c>
      <c r="F15" s="44">
        <f>E15</f>
        <v>0.5451388888888888</v>
      </c>
      <c r="G15"/>
      <c r="H15" s="37" t="s">
        <v>181</v>
      </c>
      <c r="I15" s="37" t="s">
        <v>181</v>
      </c>
      <c r="J15" s="48">
        <v>0.5902777777777778</v>
      </c>
      <c r="K15"/>
      <c r="L15"/>
      <c r="M15"/>
      <c r="N15"/>
      <c r="O15"/>
      <c r="P15"/>
      <c r="Q15"/>
      <c r="R15"/>
      <c r="S15"/>
      <c r="T15"/>
      <c r="U15"/>
      <c r="V15"/>
      <c r="W15"/>
      <c r="X15"/>
    </row>
    <row r="16" spans="1:24" ht="12.75">
      <c r="A16" s="47">
        <v>250.52</v>
      </c>
      <c r="B16" s="18">
        <v>304.12</v>
      </c>
      <c r="C16" t="s">
        <v>191</v>
      </c>
      <c r="D16" s="46" t="s">
        <v>185</v>
      </c>
      <c r="E16" s="44">
        <v>0.5513888888888889</v>
      </c>
      <c r="F16" s="44">
        <f>E16</f>
        <v>0.5513888888888889</v>
      </c>
      <c r="G16"/>
      <c r="H16" s="37" t="s">
        <v>181</v>
      </c>
      <c r="I16" s="37" t="s">
        <v>181</v>
      </c>
      <c r="J16" s="44">
        <v>0.59375</v>
      </c>
      <c r="K16"/>
      <c r="L16"/>
      <c r="M16"/>
      <c r="N16"/>
      <c r="O16"/>
      <c r="P16"/>
      <c r="Q16"/>
      <c r="R16"/>
      <c r="S16"/>
      <c r="T16"/>
      <c r="U16"/>
      <c r="V16"/>
      <c r="W16"/>
      <c r="X16"/>
    </row>
    <row r="17" spans="1:24" ht="12.75">
      <c r="A17" s="19">
        <v>256.6355</v>
      </c>
      <c r="B17" s="8">
        <f>0.3048*1280</f>
        <v>390.144</v>
      </c>
      <c r="C17" s="26" t="s">
        <v>192</v>
      </c>
      <c r="D17" s="46" t="s">
        <v>185</v>
      </c>
      <c r="E17" s="44">
        <v>0.5555555555555556</v>
      </c>
      <c r="F17" s="44">
        <f>E17</f>
        <v>0.5555555555555556</v>
      </c>
      <c r="G17"/>
      <c r="H17" s="37" t="s">
        <v>181</v>
      </c>
      <c r="I17" s="37" t="s">
        <v>181</v>
      </c>
      <c r="J17" s="44">
        <v>0.5972222222222222</v>
      </c>
      <c r="K17"/>
      <c r="L17"/>
      <c r="M17"/>
      <c r="N17"/>
      <c r="O17"/>
      <c r="P17"/>
      <c r="Q17"/>
      <c r="R17"/>
      <c r="S17"/>
      <c r="T17"/>
      <c r="U17"/>
      <c r="V17"/>
      <c r="W17"/>
      <c r="X17"/>
    </row>
    <row r="18" spans="1:24" ht="12.75">
      <c r="A18" s="19">
        <v>268.8639</v>
      </c>
      <c r="B18" s="8">
        <f>0.3048*1688</f>
        <v>514.5024000000001</v>
      </c>
      <c r="C18" s="26" t="s">
        <v>193</v>
      </c>
      <c r="D18" s="46" t="s">
        <v>185</v>
      </c>
      <c r="E18" s="44">
        <v>0.5694444444444444</v>
      </c>
      <c r="F18" s="44">
        <v>0.5694444444444444</v>
      </c>
      <c r="G18"/>
      <c r="H18" s="37" t="s">
        <v>181</v>
      </c>
      <c r="I18" s="37" t="s">
        <v>181</v>
      </c>
      <c r="J18" s="44">
        <v>0.625</v>
      </c>
      <c r="K18"/>
      <c r="L18"/>
      <c r="M18"/>
      <c r="N18"/>
      <c r="O18"/>
      <c r="P18"/>
      <c r="Q18"/>
      <c r="R18"/>
      <c r="S18"/>
      <c r="T18"/>
      <c r="U18"/>
      <c r="V18"/>
      <c r="W18"/>
      <c r="X18"/>
    </row>
    <row r="19" spans="1:24" ht="12.75">
      <c r="A19" s="19">
        <v>375.5406</v>
      </c>
      <c r="B19" s="8">
        <f>0.3048*1732</f>
        <v>527.9136</v>
      </c>
      <c r="C19" s="44" t="str">
        <f>C20</f>
        <v>Denali</v>
      </c>
      <c r="D19" s="26" t="s">
        <v>124</v>
      </c>
      <c r="E19" s="44">
        <f>E20</f>
        <v>0.6631944444444444</v>
      </c>
      <c r="F19"/>
      <c r="G19"/>
      <c r="H19" s="44">
        <v>0.6527777777777778</v>
      </c>
      <c r="I19" s="44">
        <v>0.6944444444444444</v>
      </c>
      <c r="J19"/>
      <c r="K19"/>
      <c r="L19"/>
      <c r="M19"/>
      <c r="N19"/>
      <c r="O19"/>
      <c r="P19"/>
      <c r="Q19"/>
      <c r="R19"/>
      <c r="S19"/>
      <c r="T19"/>
      <c r="U19"/>
      <c r="V19"/>
      <c r="W19"/>
      <c r="X19"/>
    </row>
    <row r="20" spans="1:24" ht="12.75">
      <c r="A20" s="19">
        <v>375.5406</v>
      </c>
      <c r="B20" s="8">
        <f>B19</f>
        <v>527.9136</v>
      </c>
      <c r="C20" t="s">
        <v>194</v>
      </c>
      <c r="D20" s="26" t="s">
        <v>130</v>
      </c>
      <c r="E20" s="44">
        <v>0.6631944444444444</v>
      </c>
      <c r="F20" s="49"/>
      <c r="G20"/>
      <c r="H20" s="44">
        <v>0.6666666666666666</v>
      </c>
      <c r="I20"/>
      <c r="J20"/>
      <c r="K20"/>
      <c r="L20"/>
      <c r="M20"/>
      <c r="N20"/>
      <c r="O20"/>
      <c r="P20"/>
      <c r="Q20"/>
      <c r="R20"/>
      <c r="S20"/>
      <c r="T20"/>
      <c r="U20"/>
      <c r="V20"/>
      <c r="W20"/>
      <c r="X20"/>
    </row>
    <row r="21" spans="1:24" ht="12.75">
      <c r="A21" s="19">
        <v>393.2396</v>
      </c>
      <c r="B21" s="8">
        <f>0.3048*1368</f>
        <v>416.9664</v>
      </c>
      <c r="C21" s="26" t="s">
        <v>195</v>
      </c>
      <c r="D21" s="26"/>
      <c r="E21" s="44">
        <v>0.6944444444444444</v>
      </c>
      <c r="F21" s="49"/>
      <c r="G21"/>
      <c r="H21" s="37" t="s">
        <v>181</v>
      </c>
      <c r="I21"/>
      <c r="J21"/>
      <c r="K21"/>
      <c r="L21"/>
      <c r="M21"/>
      <c r="N21"/>
      <c r="O21"/>
      <c r="P21"/>
      <c r="Q21"/>
      <c r="R21"/>
      <c r="S21"/>
      <c r="T21"/>
      <c r="U21"/>
      <c r="V21"/>
      <c r="W21"/>
      <c r="X21"/>
    </row>
    <row r="22" spans="1:24" ht="12.75">
      <c r="A22" s="19">
        <v>478.5166</v>
      </c>
      <c r="B22" s="8">
        <f>0.3048*362</f>
        <v>110.33760000000001</v>
      </c>
      <c r="C22" s="26" t="s">
        <v>196</v>
      </c>
      <c r="D22" s="26"/>
      <c r="E22" s="44">
        <v>0.7465277777777778</v>
      </c>
      <c r="F22" s="49"/>
      <c r="G22"/>
      <c r="H22" s="37" t="s">
        <v>181</v>
      </c>
      <c r="I22"/>
      <c r="J22"/>
      <c r="K22"/>
      <c r="L22"/>
      <c r="M22"/>
      <c r="N22"/>
      <c r="O22"/>
      <c r="P22"/>
      <c r="Q22"/>
      <c r="R22"/>
      <c r="S22"/>
      <c r="T22"/>
      <c r="U22"/>
      <c r="V22"/>
      <c r="W22"/>
      <c r="X22"/>
    </row>
    <row r="23" spans="1:24" ht="12.75">
      <c r="A23" s="19">
        <v>572.804</v>
      </c>
      <c r="B23" s="8">
        <f>0.3048*448</f>
        <v>136.5504</v>
      </c>
      <c r="C23" s="26" t="s">
        <v>197</v>
      </c>
      <c r="D23" s="26" t="s">
        <v>124</v>
      </c>
      <c r="E23" s="44">
        <v>0.8333333333333334</v>
      </c>
      <c r="F23" s="49"/>
      <c r="G23"/>
      <c r="H23" s="44">
        <v>0.8333333333333334</v>
      </c>
      <c r="I23"/>
      <c r="J23"/>
      <c r="K23"/>
      <c r="L23"/>
      <c r="M23"/>
      <c r="N23"/>
      <c r="O23"/>
      <c r="P23"/>
      <c r="Q23"/>
      <c r="R23"/>
      <c r="S23"/>
      <c r="T23"/>
      <c r="U23"/>
      <c r="V23"/>
      <c r="W23"/>
      <c r="X23"/>
    </row>
    <row r="24" spans="3:252" ht="12.75">
      <c r="C24" s="26" t="s">
        <v>198</v>
      </c>
      <c r="D24" s="26"/>
      <c r="E24"/>
      <c r="F24"/>
      <c r="G24"/>
      <c r="H24" s="26"/>
      <c r="I24"/>
      <c r="J24" s="26"/>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3:252" ht="12.75">
      <c r="C25" s="26" t="s">
        <v>199</v>
      </c>
      <c r="D25" s="26"/>
      <c r="E25" s="26"/>
      <c r="F25"/>
      <c r="G25" s="26"/>
      <c r="H25" s="26"/>
      <c r="I25" s="26"/>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4" ht="12.75">
      <c r="A26"/>
      <c r="C26" t="s">
        <v>200</v>
      </c>
      <c r="D26"/>
      <c r="E26"/>
      <c r="F26"/>
      <c r="G26"/>
      <c r="H26"/>
      <c r="I26"/>
      <c r="J26"/>
      <c r="K26"/>
      <c r="L26"/>
      <c r="M26"/>
      <c r="N26"/>
      <c r="O26"/>
      <c r="P26"/>
      <c r="Q26"/>
      <c r="R26"/>
      <c r="S26"/>
      <c r="T26"/>
      <c r="U26"/>
      <c r="V26"/>
      <c r="W26"/>
      <c r="X26"/>
    </row>
    <row r="27" spans="1:24" ht="12.75">
      <c r="A27"/>
      <c r="C27" t="s">
        <v>201</v>
      </c>
      <c r="D27"/>
      <c r="E27"/>
      <c r="F27"/>
      <c r="G27"/>
      <c r="H27"/>
      <c r="I27"/>
      <c r="J27"/>
      <c r="K27"/>
      <c r="L27"/>
      <c r="M27"/>
      <c r="N27"/>
      <c r="O27"/>
      <c r="P27"/>
      <c r="Q27"/>
      <c r="R27"/>
      <c r="S27"/>
      <c r="T27"/>
      <c r="U27"/>
      <c r="V27"/>
      <c r="W27"/>
      <c r="X27"/>
    </row>
    <row r="28" spans="1:24" ht="12.75">
      <c r="A28"/>
      <c r="C28" s="2" t="s">
        <v>202</v>
      </c>
      <c r="D28"/>
      <c r="E28"/>
      <c r="F28"/>
      <c r="G28"/>
      <c r="H28"/>
      <c r="I28"/>
      <c r="J28"/>
      <c r="K28"/>
      <c r="L28"/>
      <c r="M28"/>
      <c r="N28"/>
      <c r="O28"/>
      <c r="P28"/>
      <c r="Q28"/>
      <c r="R28"/>
      <c r="S28"/>
      <c r="T28"/>
      <c r="U28"/>
      <c r="V28"/>
      <c r="W28"/>
      <c r="X28"/>
    </row>
    <row r="29" spans="1:24" ht="12.75">
      <c r="A29"/>
      <c r="C29"/>
      <c r="D29"/>
      <c r="E29"/>
      <c r="F29"/>
      <c r="G29"/>
      <c r="H29"/>
      <c r="I29"/>
      <c r="J29"/>
      <c r="K29"/>
      <c r="L29"/>
      <c r="M29"/>
      <c r="N29"/>
      <c r="O29"/>
      <c r="P29"/>
      <c r="Q29"/>
      <c r="R29"/>
      <c r="S29"/>
      <c r="T29"/>
      <c r="U29"/>
      <c r="V29"/>
      <c r="W29"/>
      <c r="X29"/>
    </row>
    <row r="30" spans="1:24" ht="12.75">
      <c r="A30"/>
      <c r="C30"/>
      <c r="D30"/>
      <c r="E30">
        <v>9</v>
      </c>
      <c r="F30">
        <v>9</v>
      </c>
      <c r="G30"/>
      <c r="H30"/>
      <c r="I30">
        <v>1</v>
      </c>
      <c r="J30">
        <v>3</v>
      </c>
      <c r="K30"/>
      <c r="L30"/>
      <c r="M30"/>
      <c r="N30"/>
      <c r="O30"/>
      <c r="P30"/>
      <c r="Q30"/>
      <c r="R30"/>
      <c r="S30"/>
      <c r="T30"/>
      <c r="U30"/>
      <c r="V30"/>
      <c r="W30"/>
      <c r="X30"/>
    </row>
    <row r="31" spans="1:24" ht="12.75">
      <c r="A31" s="36" t="s">
        <v>2</v>
      </c>
      <c r="B31" s="37" t="s">
        <v>176</v>
      </c>
      <c r="C31" s="38" t="s">
        <v>203</v>
      </c>
      <c r="D31" s="26"/>
      <c r="E31" s="39" t="s">
        <v>178</v>
      </c>
      <c r="F31" s="40" t="s">
        <v>77</v>
      </c>
      <c r="G31"/>
      <c r="H31" s="39" t="s">
        <v>54</v>
      </c>
      <c r="I31" s="37" t="s">
        <v>49</v>
      </c>
      <c r="J31" s="40" t="s">
        <v>68</v>
      </c>
      <c r="K31"/>
      <c r="L31"/>
      <c r="M31"/>
      <c r="N31"/>
      <c r="O31"/>
      <c r="P31"/>
      <c r="Q31"/>
      <c r="R31"/>
      <c r="S31"/>
      <c r="T31"/>
      <c r="U31"/>
      <c r="V31"/>
      <c r="W31"/>
      <c r="X31"/>
    </row>
    <row r="32" spans="3:24" ht="12.75">
      <c r="C32" s="41" t="s">
        <v>179</v>
      </c>
      <c r="D32" s="26"/>
      <c r="E32" s="42" t="s">
        <v>75</v>
      </c>
      <c r="F32" s="40" t="s">
        <v>78</v>
      </c>
      <c r="G32"/>
      <c r="H32" s="29" t="s">
        <v>59</v>
      </c>
      <c r="I32" s="29" t="s">
        <v>52</v>
      </c>
      <c r="J32" s="43" t="s">
        <v>69</v>
      </c>
      <c r="K32"/>
      <c r="L32"/>
      <c r="M32"/>
      <c r="N32"/>
      <c r="O32"/>
      <c r="P32"/>
      <c r="Q32"/>
      <c r="R32"/>
      <c r="S32"/>
      <c r="T32"/>
      <c r="U32"/>
      <c r="V32"/>
      <c r="W32"/>
      <c r="X32"/>
    </row>
    <row r="33" spans="3:24" ht="12.75">
      <c r="C33" s="26"/>
      <c r="D33" s="26"/>
      <c r="E33" s="42" t="s">
        <v>63</v>
      </c>
      <c r="F33" s="42" t="s">
        <v>70</v>
      </c>
      <c r="G33"/>
      <c r="H33" s="37" t="s">
        <v>56</v>
      </c>
      <c r="I33" s="42" t="s">
        <v>44</v>
      </c>
      <c r="J33" s="42" t="s">
        <v>70</v>
      </c>
      <c r="K33"/>
      <c r="L33"/>
      <c r="M33"/>
      <c r="N33"/>
      <c r="O33"/>
      <c r="P33"/>
      <c r="Q33"/>
      <c r="R33"/>
      <c r="S33"/>
      <c r="T33"/>
      <c r="U33"/>
      <c r="V33"/>
      <c r="W33"/>
      <c r="X33"/>
    </row>
    <row r="34" spans="1:24" ht="12.75">
      <c r="A34" s="19">
        <f>A23-A23</f>
        <v>0</v>
      </c>
      <c r="B34" s="8">
        <f>B23-B23</f>
        <v>0</v>
      </c>
      <c r="C34" s="26" t="s">
        <v>197</v>
      </c>
      <c r="D34" s="26" t="s">
        <v>130</v>
      </c>
      <c r="E34" s="44">
        <v>0.3541666666666667</v>
      </c>
      <c r="F34" s="49"/>
      <c r="G34"/>
      <c r="H34"/>
      <c r="I34" s="44">
        <v>0.34375</v>
      </c>
      <c r="J34" s="35"/>
      <c r="K34"/>
      <c r="L34"/>
      <c r="M34"/>
      <c r="N34"/>
      <c r="O34"/>
      <c r="P34"/>
      <c r="Q34"/>
      <c r="R34"/>
      <c r="S34"/>
      <c r="T34"/>
      <c r="U34"/>
      <c r="V34"/>
      <c r="W34"/>
      <c r="X34"/>
    </row>
    <row r="35" spans="1:24" ht="12.75">
      <c r="A35" s="19">
        <f>A23-A22</f>
        <v>94.28739999999999</v>
      </c>
      <c r="B35" s="8">
        <f>B22</f>
        <v>110.33760000000001</v>
      </c>
      <c r="C35" s="26" t="s">
        <v>196</v>
      </c>
      <c r="D35" s="26"/>
      <c r="E35" s="44">
        <v>0.4375</v>
      </c>
      <c r="F35" s="49"/>
      <c r="G35"/>
      <c r="H35"/>
      <c r="I35" s="37" t="s">
        <v>181</v>
      </c>
      <c r="J35" s="35"/>
      <c r="K35"/>
      <c r="L35"/>
      <c r="M35"/>
      <c r="N35"/>
      <c r="O35"/>
      <c r="P35"/>
      <c r="Q35"/>
      <c r="R35"/>
      <c r="S35"/>
      <c r="T35"/>
      <c r="U35"/>
      <c r="V35"/>
      <c r="W35"/>
      <c r="X35"/>
    </row>
    <row r="36" spans="1:24" ht="12.75">
      <c r="A36" s="19">
        <f>A23-A21</f>
        <v>179.56439999999998</v>
      </c>
      <c r="B36" s="8">
        <f>B21</f>
        <v>416.9664</v>
      </c>
      <c r="C36" s="26" t="s">
        <v>195</v>
      </c>
      <c r="D36" s="26"/>
      <c r="E36" s="44">
        <v>0.4895833333333333</v>
      </c>
      <c r="F36" s="49"/>
      <c r="G36"/>
      <c r="H36"/>
      <c r="I36" s="37" t="s">
        <v>181</v>
      </c>
      <c r="J36" s="35"/>
      <c r="K36"/>
      <c r="L36"/>
      <c r="M36"/>
      <c r="N36"/>
      <c r="O36"/>
      <c r="P36"/>
      <c r="Q36"/>
      <c r="R36"/>
      <c r="S36"/>
      <c r="T36"/>
      <c r="U36"/>
      <c r="V36"/>
      <c r="W36"/>
      <c r="X36"/>
    </row>
    <row r="37" spans="1:24" ht="12.75">
      <c r="A37" s="19">
        <f>A23-A20</f>
        <v>197.2634</v>
      </c>
      <c r="B37" s="8">
        <f>B19</f>
        <v>527.9136</v>
      </c>
      <c r="C37" s="44" t="str">
        <f>C38</f>
        <v>Denali</v>
      </c>
      <c r="D37" s="26" t="s">
        <v>124</v>
      </c>
      <c r="E37" s="44">
        <f>E38</f>
        <v>0.5208333333333334</v>
      </c>
      <c r="F37"/>
      <c r="G37"/>
      <c r="H37"/>
      <c r="I37" s="44">
        <v>0.5069444444444444</v>
      </c>
      <c r="J37"/>
      <c r="K37"/>
      <c r="L37"/>
      <c r="M37"/>
      <c r="N37"/>
      <c r="O37"/>
      <c r="P37"/>
      <c r="Q37"/>
      <c r="R37"/>
      <c r="S37"/>
      <c r="T37"/>
      <c r="U37"/>
      <c r="V37"/>
      <c r="W37"/>
      <c r="X37"/>
    </row>
    <row r="38" spans="1:24" ht="12.75">
      <c r="A38" s="19">
        <f>A23-A19</f>
        <v>197.2634</v>
      </c>
      <c r="B38" s="8">
        <f>B37</f>
        <v>527.9136</v>
      </c>
      <c r="C38" t="s">
        <v>194</v>
      </c>
      <c r="D38" s="26" t="s">
        <v>130</v>
      </c>
      <c r="E38" s="44">
        <v>0.5208333333333334</v>
      </c>
      <c r="F38" s="49"/>
      <c r="G38"/>
      <c r="H38" s="44">
        <v>0.4270833333333333</v>
      </c>
      <c r="I38" s="44">
        <v>0.5208333333333334</v>
      </c>
      <c r="J38" s="35"/>
      <c r="K38"/>
      <c r="L38"/>
      <c r="M38"/>
      <c r="N38"/>
      <c r="O38"/>
      <c r="P38"/>
      <c r="Q38"/>
      <c r="R38"/>
      <c r="S38"/>
      <c r="T38"/>
      <c r="U38"/>
      <c r="V38"/>
      <c r="W38"/>
      <c r="X38"/>
    </row>
    <row r="39" spans="1:24" ht="12.75">
      <c r="A39" s="19">
        <f>A23-A18</f>
        <v>303.9401</v>
      </c>
      <c r="B39" s="8">
        <f>B18</f>
        <v>514.5024000000001</v>
      </c>
      <c r="C39" s="26" t="s">
        <v>193</v>
      </c>
      <c r="D39" s="46" t="s">
        <v>185</v>
      </c>
      <c r="E39" s="44">
        <v>0.6145833333333334</v>
      </c>
      <c r="F39" s="44">
        <v>0.6145833333333334</v>
      </c>
      <c r="G39"/>
      <c r="H39" s="37" t="s">
        <v>181</v>
      </c>
      <c r="I39" s="37" t="s">
        <v>181</v>
      </c>
      <c r="J39" s="44">
        <v>0.6666666666666666</v>
      </c>
      <c r="K39"/>
      <c r="L39"/>
      <c r="M39"/>
      <c r="N39"/>
      <c r="O39"/>
      <c r="P39"/>
      <c r="Q39"/>
      <c r="R39"/>
      <c r="S39"/>
      <c r="T39"/>
      <c r="U39"/>
      <c r="V39"/>
      <c r="W39"/>
      <c r="X39"/>
    </row>
    <row r="40" spans="1:24" ht="12.75">
      <c r="A40" s="19">
        <f>A23-A17</f>
        <v>316.1685</v>
      </c>
      <c r="B40" s="8">
        <f>B17</f>
        <v>390.144</v>
      </c>
      <c r="C40" s="26" t="s">
        <v>192</v>
      </c>
      <c r="D40" s="46" t="s">
        <v>185</v>
      </c>
      <c r="E40" s="44">
        <v>0.6284722222222222</v>
      </c>
      <c r="F40" s="44">
        <f>E40</f>
        <v>0.6284722222222222</v>
      </c>
      <c r="G40"/>
      <c r="H40" s="37" t="s">
        <v>181</v>
      </c>
      <c r="I40" s="37" t="s">
        <v>181</v>
      </c>
      <c r="J40" s="44">
        <v>0.6805555555555556</v>
      </c>
      <c r="K40"/>
      <c r="L40"/>
      <c r="M40"/>
      <c r="N40"/>
      <c r="O40"/>
      <c r="P40"/>
      <c r="Q40"/>
      <c r="R40"/>
      <c r="S40"/>
      <c r="T40"/>
      <c r="U40"/>
      <c r="V40"/>
      <c r="W40"/>
      <c r="X40"/>
    </row>
    <row r="41" spans="1:24" ht="12.75">
      <c r="A41" s="47">
        <f>A23-A16</f>
        <v>322.284</v>
      </c>
      <c r="B41" s="8">
        <f>B16</f>
        <v>304.12</v>
      </c>
      <c r="C41" t="s">
        <v>191</v>
      </c>
      <c r="D41" s="46" t="s">
        <v>185</v>
      </c>
      <c r="E41" s="44">
        <v>0.6340277777777777</v>
      </c>
      <c r="F41" s="44">
        <f>E41</f>
        <v>0.6340277777777777</v>
      </c>
      <c r="G41"/>
      <c r="H41" s="37" t="s">
        <v>181</v>
      </c>
      <c r="I41" s="37" t="s">
        <v>181</v>
      </c>
      <c r="J41" s="44">
        <v>0.7222222222222222</v>
      </c>
      <c r="K41"/>
      <c r="L41"/>
      <c r="M41"/>
      <c r="N41"/>
      <c r="O41"/>
      <c r="P41"/>
      <c r="Q41"/>
      <c r="R41"/>
      <c r="S41"/>
      <c r="T41"/>
      <c r="U41"/>
      <c r="V41"/>
      <c r="W41"/>
      <c r="X41"/>
    </row>
    <row r="42" spans="1:24" ht="12.75">
      <c r="A42" s="19">
        <f>A23-A15</f>
        <v>324.85709999999995</v>
      </c>
      <c r="B42" s="8">
        <f>B15</f>
        <v>267.9192</v>
      </c>
      <c r="C42" s="26" t="s">
        <v>190</v>
      </c>
      <c r="D42" s="46" t="s">
        <v>185</v>
      </c>
      <c r="E42" s="44">
        <v>0.6388888888888888</v>
      </c>
      <c r="F42" s="44">
        <f>E42</f>
        <v>0.6388888888888888</v>
      </c>
      <c r="G42"/>
      <c r="H42" s="37" t="s">
        <v>181</v>
      </c>
      <c r="I42" s="37" t="s">
        <v>181</v>
      </c>
      <c r="J42" s="44">
        <v>0.725</v>
      </c>
      <c r="K42"/>
      <c r="L42"/>
      <c r="M42"/>
      <c r="N42"/>
      <c r="O42"/>
      <c r="P42"/>
      <c r="Q42"/>
      <c r="R42"/>
      <c r="S42"/>
      <c r="T42"/>
      <c r="U42"/>
      <c r="V42"/>
      <c r="W42"/>
      <c r="X42"/>
    </row>
    <row r="43" spans="1:24" ht="12.75">
      <c r="A43" s="19">
        <f>A23-A14</f>
        <v>333.22389999999996</v>
      </c>
      <c r="B43" s="8">
        <f>B14</f>
        <v>222.80880000000002</v>
      </c>
      <c r="C43" s="26" t="s">
        <v>189</v>
      </c>
      <c r="D43" s="46" t="s">
        <v>185</v>
      </c>
      <c r="E43" s="44">
        <v>0.65625</v>
      </c>
      <c r="F43" s="44">
        <f>E43</f>
        <v>0.65625</v>
      </c>
      <c r="G43"/>
      <c r="H43" s="37" t="s">
        <v>181</v>
      </c>
      <c r="I43" s="37" t="s">
        <v>181</v>
      </c>
      <c r="J43" s="44">
        <v>0.7326388888888888</v>
      </c>
      <c r="K43"/>
      <c r="L43"/>
      <c r="M43"/>
      <c r="N43"/>
      <c r="O43"/>
      <c r="P43"/>
      <c r="Q43"/>
      <c r="R43"/>
      <c r="S43"/>
      <c r="T43"/>
      <c r="U43"/>
      <c r="V43"/>
      <c r="W43"/>
      <c r="X43"/>
    </row>
    <row r="44" spans="1:24" ht="12.75">
      <c r="A44" s="19">
        <f>A23-A13</f>
        <v>342.0734</v>
      </c>
      <c r="B44" s="8">
        <f>B13</f>
        <v>189.2808</v>
      </c>
      <c r="C44" s="26" t="s">
        <v>188</v>
      </c>
      <c r="D44" s="46" t="s">
        <v>185</v>
      </c>
      <c r="E44" s="44">
        <v>0.6631944444444444</v>
      </c>
      <c r="F44" s="44">
        <f>E44</f>
        <v>0.6631944444444444</v>
      </c>
      <c r="G44"/>
      <c r="H44" s="37" t="s">
        <v>181</v>
      </c>
      <c r="I44" s="37" t="s">
        <v>181</v>
      </c>
      <c r="J44" s="44">
        <v>0.7430555555555556</v>
      </c>
      <c r="K44"/>
      <c r="L44"/>
      <c r="M44"/>
      <c r="N44"/>
      <c r="O44"/>
      <c r="P44"/>
      <c r="Q44"/>
      <c r="R44"/>
      <c r="S44"/>
      <c r="T44"/>
      <c r="U44"/>
      <c r="V44"/>
      <c r="W44"/>
      <c r="X44"/>
    </row>
    <row r="45" spans="1:24" ht="12.75">
      <c r="A45" s="47">
        <f>A23-A12</f>
        <v>353.06399999999996</v>
      </c>
      <c r="B45" s="8">
        <f>B12</f>
        <v>172.31</v>
      </c>
      <c r="C45" t="s">
        <v>187</v>
      </c>
      <c r="D45" s="46" t="s">
        <v>185</v>
      </c>
      <c r="E45" s="44">
        <v>0.66875</v>
      </c>
      <c r="F45" s="44">
        <f>E45</f>
        <v>0.66875</v>
      </c>
      <c r="G45"/>
      <c r="H45" s="37" t="s">
        <v>181</v>
      </c>
      <c r="I45" s="37" t="s">
        <v>181</v>
      </c>
      <c r="J45" s="44">
        <v>0.7486111111111111</v>
      </c>
      <c r="K45"/>
      <c r="L45"/>
      <c r="M45"/>
      <c r="N45"/>
      <c r="O45"/>
      <c r="P45"/>
      <c r="Q45"/>
      <c r="R45"/>
      <c r="S45"/>
      <c r="T45"/>
      <c r="U45"/>
      <c r="V45"/>
      <c r="W45"/>
      <c r="X45"/>
    </row>
    <row r="46" spans="1:252" ht="12.75">
      <c r="A46" s="19">
        <f>A23-A11</f>
        <v>356.8762</v>
      </c>
      <c r="B46" s="8">
        <f>B11</f>
        <v>166.4208</v>
      </c>
      <c r="C46" s="26" t="s">
        <v>186</v>
      </c>
      <c r="D46" s="46" t="s">
        <v>185</v>
      </c>
      <c r="E46" s="44">
        <v>0.6770833333333334</v>
      </c>
      <c r="F46" s="44">
        <f>E46</f>
        <v>0.6770833333333334</v>
      </c>
      <c r="G46"/>
      <c r="H46" s="37" t="s">
        <v>181</v>
      </c>
      <c r="I46" s="37" t="s">
        <v>181</v>
      </c>
      <c r="J46" s="44">
        <v>0.7569444444444444</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row>
    <row r="47" spans="1:24" ht="12.75">
      <c r="A47" s="19">
        <f>A23-A10</f>
        <v>376.66689999999994</v>
      </c>
      <c r="B47" s="8">
        <f>B10</f>
        <v>140.5128</v>
      </c>
      <c r="C47" s="26" t="s">
        <v>184</v>
      </c>
      <c r="D47" s="46" t="s">
        <v>185</v>
      </c>
      <c r="E47" s="44">
        <v>0.6909722222222222</v>
      </c>
      <c r="F47" s="44">
        <f>E47</f>
        <v>0.6909722222222222</v>
      </c>
      <c r="G47"/>
      <c r="H47" s="37" t="s">
        <v>181</v>
      </c>
      <c r="I47" s="37" t="s">
        <v>181</v>
      </c>
      <c r="J47" s="44">
        <v>0.7673611111111112</v>
      </c>
      <c r="K47"/>
      <c r="L47"/>
      <c r="M47"/>
      <c r="N47"/>
      <c r="O47"/>
      <c r="P47"/>
      <c r="Q47"/>
      <c r="R47"/>
      <c r="S47"/>
      <c r="T47"/>
      <c r="U47"/>
      <c r="V47"/>
      <c r="W47"/>
      <c r="X47"/>
    </row>
    <row r="48" spans="1:24" ht="12.75">
      <c r="A48" s="19">
        <f>A23-A9</f>
        <v>391.9524</v>
      </c>
      <c r="B48" s="8">
        <f>B8</f>
        <v>107.89920000000001</v>
      </c>
      <c r="C48" s="26" t="s">
        <v>183</v>
      </c>
      <c r="D48" s="26" t="s">
        <v>124</v>
      </c>
      <c r="E48" s="44">
        <f>E49</f>
        <v>0.7013888888888888</v>
      </c>
      <c r="F48" s="44">
        <f>F49</f>
        <v>0.7013888888888888</v>
      </c>
      <c r="G48"/>
      <c r="H48" s="44">
        <v>0.59375</v>
      </c>
      <c r="I48" s="44">
        <v>0.6944444444444444</v>
      </c>
      <c r="J48" s="44">
        <v>0.7916666666666666</v>
      </c>
      <c r="K48"/>
      <c r="L48"/>
      <c r="M48"/>
      <c r="N48"/>
      <c r="O48"/>
      <c r="P48"/>
      <c r="Q48"/>
      <c r="R48"/>
      <c r="S48"/>
      <c r="T48"/>
      <c r="U48"/>
      <c r="V48"/>
      <c r="W48"/>
      <c r="X48"/>
    </row>
    <row r="49" spans="1:24" ht="12.75">
      <c r="A49" s="19">
        <f>A23-A8</f>
        <v>391.9524</v>
      </c>
      <c r="B49" s="8">
        <f>B48</f>
        <v>107.89920000000001</v>
      </c>
      <c r="C49" s="26" t="s">
        <v>183</v>
      </c>
      <c r="D49" s="26" t="s">
        <v>130</v>
      </c>
      <c r="E49" s="44">
        <v>0.7013888888888888</v>
      </c>
      <c r="F49" s="44">
        <v>0.7013888888888888</v>
      </c>
      <c r="G49"/>
      <c r="H49" s="44">
        <v>0.59375</v>
      </c>
      <c r="I49" s="44">
        <v>0.7048611111111112</v>
      </c>
      <c r="J49"/>
      <c r="K49"/>
      <c r="L49"/>
      <c r="M49"/>
      <c r="N49"/>
      <c r="O49"/>
      <c r="P49"/>
      <c r="Q49"/>
      <c r="R49"/>
      <c r="S49"/>
      <c r="T49"/>
      <c r="U49"/>
      <c r="V49"/>
      <c r="W49"/>
      <c r="X49"/>
    </row>
    <row r="50" spans="1:252" ht="12.75">
      <c r="A50" s="19">
        <f>A23-A7</f>
        <v>499.5945</v>
      </c>
      <c r="B50" s="8">
        <f>B6</f>
        <v>103.3272</v>
      </c>
      <c r="C50" t="s">
        <v>180</v>
      </c>
      <c r="D50" s="44" t="s">
        <v>124</v>
      </c>
      <c r="E50" s="44">
        <f>E51</f>
        <v>0.7673611111111112</v>
      </c>
      <c r="F50" s="44">
        <f>F51</f>
        <v>0.7673611111111112</v>
      </c>
      <c r="G50"/>
      <c r="H50" s="37" t="s">
        <v>181</v>
      </c>
      <c r="I50" s="44">
        <v>0.7569444444444444</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row>
    <row r="51" spans="1:24" ht="12.75">
      <c r="A51" s="5">
        <f>A23-A6</f>
        <v>499.5945</v>
      </c>
      <c r="B51" s="8">
        <f>B50</f>
        <v>103.3272</v>
      </c>
      <c r="C51" s="26" t="s">
        <v>180</v>
      </c>
      <c r="D51" t="s">
        <v>130</v>
      </c>
      <c r="E51" s="44">
        <v>0.7673611111111112</v>
      </c>
      <c r="F51" s="44">
        <v>0.7673611111111112</v>
      </c>
      <c r="G51"/>
      <c r="H51" s="37" t="s">
        <v>181</v>
      </c>
      <c r="I51" s="45" t="s">
        <v>204</v>
      </c>
      <c r="J51" s="50"/>
      <c r="K51"/>
      <c r="L51"/>
      <c r="M51"/>
      <c r="N51"/>
      <c r="O51"/>
      <c r="P51"/>
      <c r="Q51"/>
      <c r="R51"/>
      <c r="S51"/>
      <c r="T51"/>
      <c r="U51"/>
      <c r="V51"/>
      <c r="W51"/>
      <c r="X51"/>
    </row>
    <row r="52" spans="1:24" ht="12.75">
      <c r="A52" s="19">
        <f>A23-A5</f>
        <v>572.804</v>
      </c>
      <c r="B52" s="8">
        <f>B5</f>
        <v>11.5824</v>
      </c>
      <c r="C52" s="26" t="s">
        <v>122</v>
      </c>
      <c r="D52" s="26" t="s">
        <v>124</v>
      </c>
      <c r="E52" s="44">
        <v>0.8333333333333334</v>
      </c>
      <c r="F52" s="44">
        <v>0.8333333333333334</v>
      </c>
      <c r="G52"/>
      <c r="H52" s="44">
        <v>0.7291666666666666</v>
      </c>
      <c r="I52" s="44">
        <v>0.8333333333333334</v>
      </c>
      <c r="J52"/>
      <c r="K52"/>
      <c r="L52"/>
      <c r="M52"/>
      <c r="N52"/>
      <c r="O52"/>
      <c r="P52"/>
      <c r="Q52"/>
      <c r="R52"/>
      <c r="S52" s="6"/>
      <c r="T52"/>
      <c r="U52"/>
      <c r="V52"/>
      <c r="W52"/>
      <c r="X52"/>
    </row>
    <row r="53" spans="3:24" ht="12.75">
      <c r="C53" s="25" t="s">
        <v>205</v>
      </c>
      <c r="D53" s="26"/>
      <c r="E53"/>
      <c r="F53"/>
      <c r="G53"/>
      <c r="H53"/>
      <c r="I53"/>
      <c r="J53"/>
      <c r="K53"/>
      <c r="L53"/>
      <c r="M53"/>
      <c r="N53"/>
      <c r="O53"/>
      <c r="P53"/>
      <c r="Q53"/>
      <c r="R53"/>
      <c r="S53"/>
      <c r="T53"/>
      <c r="U53"/>
      <c r="V53"/>
      <c r="W53"/>
      <c r="X53"/>
    </row>
    <row r="54" spans="3:24" ht="12.75">
      <c r="C54" s="26" t="s">
        <v>199</v>
      </c>
      <c r="D54" s="26"/>
      <c r="E54" s="26"/>
      <c r="F54" s="26"/>
      <c r="G54" s="26"/>
      <c r="H54" s="26"/>
      <c r="I54" s="51"/>
      <c r="J54"/>
      <c r="K54"/>
      <c r="L54"/>
      <c r="M54"/>
      <c r="N54"/>
      <c r="O54"/>
      <c r="P54"/>
      <c r="Q54"/>
      <c r="R54"/>
      <c r="S54"/>
      <c r="T54"/>
      <c r="U54"/>
      <c r="V54"/>
      <c r="W54"/>
      <c r="X54"/>
    </row>
    <row r="55" spans="3:24" ht="12.75">
      <c r="C55" t="s">
        <v>200</v>
      </c>
      <c r="D55" s="26"/>
      <c r="E55" s="26"/>
      <c r="F55" s="26"/>
      <c r="G55" s="26"/>
      <c r="H55"/>
      <c r="I55" s="51"/>
      <c r="J55" s="49"/>
      <c r="K55" s="49"/>
      <c r="L55"/>
      <c r="M55"/>
      <c r="N55"/>
      <c r="O55"/>
      <c r="P55"/>
      <c r="Q55"/>
      <c r="R55"/>
      <c r="S55"/>
      <c r="T55"/>
      <c r="U55"/>
      <c r="V55"/>
      <c r="W55"/>
      <c r="X55"/>
    </row>
    <row r="56" spans="3:15" ht="12.75">
      <c r="C56" t="s">
        <v>201</v>
      </c>
      <c r="D56" s="26"/>
      <c r="E56" s="26"/>
      <c r="F56" s="26"/>
      <c r="G56" s="26"/>
      <c r="H56" s="26"/>
      <c r="I56" s="26"/>
      <c r="J56" s="51"/>
      <c r="K56" s="49"/>
      <c r="L56" s="49"/>
      <c r="M56"/>
      <c r="N56"/>
      <c r="O56"/>
    </row>
    <row r="57" spans="3:15" ht="12.75">
      <c r="C57" s="2" t="s">
        <v>202</v>
      </c>
      <c r="D57" s="26"/>
      <c r="E57" s="26"/>
      <c r="F57" s="26"/>
      <c r="G57" s="26"/>
      <c r="H57" s="26"/>
      <c r="I57" s="26"/>
      <c r="J57" s="51"/>
      <c r="K57" s="49"/>
      <c r="L57" s="49"/>
      <c r="M57"/>
      <c r="N57"/>
      <c r="O57"/>
    </row>
    <row r="58" spans="1:15" ht="12.75">
      <c r="A58"/>
      <c r="C58" s="2"/>
      <c r="D58" s="26"/>
      <c r="E58" s="26"/>
      <c r="F58" s="26"/>
      <c r="G58" s="26"/>
      <c r="H58" s="26"/>
      <c r="I58" s="26"/>
      <c r="J58" s="51"/>
      <c r="K58" s="49"/>
      <c r="L58" s="49"/>
      <c r="M58"/>
      <c r="N58"/>
      <c r="O58"/>
    </row>
    <row r="59" spans="1:15" ht="15">
      <c r="A59"/>
      <c r="C59" s="52" t="s">
        <v>206</v>
      </c>
      <c r="D59" s="26"/>
      <c r="E59" s="26"/>
      <c r="F59" s="26"/>
      <c r="G59" s="26"/>
      <c r="H59" s="26"/>
      <c r="I59" s="26"/>
      <c r="J59" s="26"/>
      <c r="K59" s="49"/>
      <c r="L59" s="49"/>
      <c r="M59"/>
      <c r="N59"/>
      <c r="O59"/>
    </row>
    <row r="60" spans="1:15" ht="12.75">
      <c r="A60"/>
      <c r="C60" t="s">
        <v>207</v>
      </c>
      <c r="D60" s="26"/>
      <c r="E60" s="26"/>
      <c r="F60" s="26"/>
      <c r="G60" s="26"/>
      <c r="H60" s="26"/>
      <c r="I60" s="26"/>
      <c r="J60" s="26"/>
      <c r="K60"/>
      <c r="L60" s="49"/>
      <c r="M60" s="49"/>
      <c r="N60" s="49"/>
      <c r="O60"/>
    </row>
    <row r="61" spans="1:15" ht="12.75">
      <c r="A61"/>
      <c r="C61" t="s">
        <v>208</v>
      </c>
      <c r="D61" s="26"/>
      <c r="E61" s="26"/>
      <c r="F61" s="26"/>
      <c r="G61" s="26"/>
      <c r="H61" s="26"/>
      <c r="I61" s="26"/>
      <c r="J61" s="26"/>
      <c r="K61"/>
      <c r="L61"/>
      <c r="M61"/>
      <c r="N61"/>
      <c r="O61"/>
    </row>
    <row r="62" spans="1:15" ht="12.75">
      <c r="A62"/>
      <c r="C62" s="25" t="s">
        <v>209</v>
      </c>
      <c r="D62" s="26"/>
      <c r="E62" s="51"/>
      <c r="F62" s="51"/>
      <c r="G62" s="51"/>
      <c r="H62" s="51"/>
      <c r="I62" s="26"/>
      <c r="J62" s="26"/>
      <c r="K62" s="26"/>
      <c r="L62"/>
      <c r="M62"/>
      <c r="N62"/>
      <c r="O62"/>
    </row>
    <row r="63" spans="1:15" ht="12.75">
      <c r="A63"/>
      <c r="D63" s="26"/>
      <c r="E63" s="51"/>
      <c r="F63" s="51"/>
      <c r="G63" s="51"/>
      <c r="H63" s="51"/>
      <c r="I63" s="26"/>
      <c r="J63" s="26"/>
      <c r="K63" s="26"/>
      <c r="L63"/>
      <c r="M63"/>
      <c r="N63"/>
      <c r="O63"/>
    </row>
    <row r="64" spans="1:15" ht="12.75">
      <c r="A64"/>
      <c r="C64" s="53" t="s">
        <v>210</v>
      </c>
      <c r="D64" s="26"/>
      <c r="E64" s="51"/>
      <c r="F64" s="51"/>
      <c r="G64" s="51"/>
      <c r="H64" s="51"/>
      <c r="I64" s="26"/>
      <c r="J64" s="26"/>
      <c r="K64" s="26"/>
      <c r="L64"/>
      <c r="M64"/>
      <c r="N64"/>
      <c r="O64"/>
    </row>
    <row r="65" spans="1:15" ht="12.75">
      <c r="A65"/>
      <c r="C65" s="26" t="s">
        <v>211</v>
      </c>
      <c r="D65" s="26"/>
      <c r="E65" s="51"/>
      <c r="F65" s="51"/>
      <c r="G65" s="51"/>
      <c r="H65" s="51"/>
      <c r="I65" s="26"/>
      <c r="J65" s="26"/>
      <c r="K65" s="26"/>
      <c r="L65"/>
      <c r="M65"/>
      <c r="N65"/>
      <c r="O65"/>
    </row>
    <row r="66" spans="1:15" ht="12.75">
      <c r="A66"/>
      <c r="C66" s="26" t="s">
        <v>212</v>
      </c>
      <c r="D66" s="26"/>
      <c r="E66" s="36"/>
      <c r="F66" s="51"/>
      <c r="G66" s="51"/>
      <c r="H66" s="51"/>
      <c r="I66" s="26"/>
      <c r="J66" s="26"/>
      <c r="K66" s="26"/>
      <c r="L66"/>
      <c r="M66"/>
      <c r="N66"/>
      <c r="O66"/>
    </row>
    <row r="67" spans="1:15" ht="12.75">
      <c r="A67"/>
      <c r="C67" s="26" t="s">
        <v>213</v>
      </c>
      <c r="D67" s="26"/>
      <c r="E67" s="36"/>
      <c r="F67" s="51"/>
      <c r="G67" s="51"/>
      <c r="H67" s="51"/>
      <c r="I67" s="26"/>
      <c r="J67" s="26"/>
      <c r="K67" s="26"/>
      <c r="L67"/>
      <c r="M67"/>
      <c r="N67"/>
      <c r="O67"/>
    </row>
    <row r="68" spans="3:15" ht="12.75">
      <c r="C68"/>
      <c r="D68" s="26"/>
      <c r="E68" s="26"/>
      <c r="F68" s="51"/>
      <c r="G68" s="51"/>
      <c r="H68" s="51"/>
      <c r="I68" s="26"/>
      <c r="J68" s="26"/>
      <c r="K68" s="26"/>
      <c r="L68"/>
      <c r="M68"/>
      <c r="N68"/>
      <c r="O68"/>
    </row>
    <row r="69" spans="3:15" ht="12.75">
      <c r="C69" s="26"/>
      <c r="D69" s="26"/>
      <c r="E69"/>
      <c r="F69" s="26"/>
      <c r="G69" s="26"/>
      <c r="H69"/>
      <c r="I69" s="26"/>
      <c r="J69"/>
      <c r="K69"/>
      <c r="L69"/>
      <c r="M69"/>
      <c r="N69"/>
      <c r="O69"/>
    </row>
    <row r="70" spans="1:15" ht="12.75">
      <c r="A70"/>
      <c r="C70"/>
      <c r="D70" s="26"/>
      <c r="E70" s="54" t="s">
        <v>214</v>
      </c>
      <c r="F70" s="29" t="s">
        <v>61</v>
      </c>
      <c r="G70" s="43" t="s">
        <v>61</v>
      </c>
      <c r="H70"/>
      <c r="I70"/>
      <c r="J70"/>
      <c r="K70"/>
      <c r="L70" s="18"/>
      <c r="M70"/>
      <c r="N70"/>
      <c r="O70"/>
    </row>
    <row r="71" spans="1:15" ht="12.75">
      <c r="A71" s="36" t="s">
        <v>2</v>
      </c>
      <c r="B71" s="37" t="s">
        <v>176</v>
      </c>
      <c r="C71" s="38" t="s">
        <v>203</v>
      </c>
      <c r="D71" s="26"/>
      <c r="E71" s="29" t="s">
        <v>43</v>
      </c>
      <c r="F71" s="29" t="s">
        <v>62</v>
      </c>
      <c r="G71" s="29" t="s">
        <v>62</v>
      </c>
      <c r="H71"/>
      <c r="I71"/>
      <c r="J71"/>
      <c r="K71"/>
      <c r="L71"/>
      <c r="M71"/>
      <c r="N71"/>
      <c r="O71"/>
    </row>
    <row r="72" spans="3:15" ht="12.75">
      <c r="C72" s="26"/>
      <c r="D72" s="26"/>
      <c r="E72" s="42" t="s">
        <v>44</v>
      </c>
      <c r="F72" s="42" t="s">
        <v>63</v>
      </c>
      <c r="G72" s="42" t="s">
        <v>63</v>
      </c>
      <c r="H72"/>
      <c r="I72"/>
      <c r="J72"/>
      <c r="K72"/>
      <c r="L72"/>
      <c r="M72"/>
      <c r="N72" s="35"/>
      <c r="O72"/>
    </row>
    <row r="73" spans="1:15" ht="12.75">
      <c r="A73" s="19">
        <f>A105-A105</f>
        <v>0</v>
      </c>
      <c r="B73" s="8">
        <f>0.3048*38</f>
        <v>11.5824</v>
      </c>
      <c r="C73" s="26" t="s">
        <v>122</v>
      </c>
      <c r="D73" s="26" t="s">
        <v>130</v>
      </c>
      <c r="E73" s="44">
        <v>0.28125</v>
      </c>
      <c r="F73" s="44">
        <v>0.40625</v>
      </c>
      <c r="G73" s="50"/>
      <c r="H73"/>
      <c r="I73"/>
      <c r="J73"/>
      <c r="K73"/>
      <c r="L73"/>
      <c r="M73"/>
      <c r="N73"/>
      <c r="O73"/>
    </row>
    <row r="74" spans="1:15" ht="12.75">
      <c r="A74" s="47">
        <f>A105-A104</f>
        <v>64.03999999999999</v>
      </c>
      <c r="B74" s="8">
        <f>0.3048*40</f>
        <v>12.192</v>
      </c>
      <c r="C74" s="50" t="s">
        <v>215</v>
      </c>
      <c r="D74" s="44" t="s">
        <v>124</v>
      </c>
      <c r="E74" s="44">
        <v>0.3298611111111111</v>
      </c>
      <c r="F74" s="44">
        <v>0.4548611111111111</v>
      </c>
      <c r="G74" s="50"/>
      <c r="H74"/>
      <c r="I74"/>
      <c r="J74"/>
      <c r="K74"/>
      <c r="L74"/>
      <c r="M74"/>
      <c r="N74"/>
      <c r="O74"/>
    </row>
    <row r="75" spans="1:15" ht="12.75">
      <c r="A75" s="19">
        <f>A105-A103</f>
        <v>64.03999999999999</v>
      </c>
      <c r="B75" s="8">
        <f>B74</f>
        <v>12.192</v>
      </c>
      <c r="C75" s="26" t="s">
        <v>215</v>
      </c>
      <c r="D75" t="s">
        <v>130</v>
      </c>
      <c r="E75" s="55" t="s">
        <v>216</v>
      </c>
      <c r="F75" s="44">
        <v>0.4583333333333333</v>
      </c>
      <c r="G75" s="50" t="s">
        <v>217</v>
      </c>
      <c r="H75"/>
      <c r="I75"/>
      <c r="J75"/>
      <c r="K75"/>
      <c r="L75"/>
      <c r="M75"/>
      <c r="N75"/>
      <c r="O75"/>
    </row>
    <row r="76" spans="1:15" ht="12.75">
      <c r="A76" s="19">
        <f>A105-A102</f>
        <v>80.60999999999999</v>
      </c>
      <c r="B76" s="8">
        <f>0.3048*33</f>
        <v>10.0584</v>
      </c>
      <c r="C76" s="26" t="s">
        <v>218</v>
      </c>
      <c r="D76" s="26" t="s">
        <v>124</v>
      </c>
      <c r="E76" s="37" t="s">
        <v>181</v>
      </c>
      <c r="F76" s="44">
        <v>0.4791666666666667</v>
      </c>
      <c r="G76" s="44">
        <v>0.71875</v>
      </c>
      <c r="H76"/>
      <c r="I76"/>
      <c r="J76"/>
      <c r="K76"/>
      <c r="L76"/>
      <c r="M76" s="18"/>
      <c r="N76"/>
      <c r="O76"/>
    </row>
    <row r="77" spans="1:15" ht="12.75">
      <c r="A77" s="19">
        <f>A76</f>
        <v>80.60999999999999</v>
      </c>
      <c r="B77" s="8">
        <f>B76</f>
        <v>10.0584</v>
      </c>
      <c r="C77" s="26" t="s">
        <v>219</v>
      </c>
      <c r="D77" s="26" t="s">
        <v>130</v>
      </c>
      <c r="E77" s="37" t="s">
        <v>181</v>
      </c>
      <c r="F77" s="44">
        <v>0.4826388888888889</v>
      </c>
      <c r="G77" s="44">
        <v>0.7291666666666666</v>
      </c>
      <c r="H77"/>
      <c r="I77"/>
      <c r="J77"/>
      <c r="K77"/>
      <c r="L77"/>
      <c r="M77" s="18"/>
      <c r="N77"/>
      <c r="O77"/>
    </row>
    <row r="78" spans="1:15" ht="12.75">
      <c r="A78" s="19">
        <f>(12*1.609)+A77</f>
        <v>99.91799999999998</v>
      </c>
      <c r="B78" s="8">
        <f>0.3048*21</f>
        <v>6.4008</v>
      </c>
      <c r="C78" s="26" t="s">
        <v>220</v>
      </c>
      <c r="D78" s="26" t="s">
        <v>124</v>
      </c>
      <c r="E78" s="37" t="s">
        <v>181</v>
      </c>
      <c r="F78" s="44">
        <v>0.5034722222222222</v>
      </c>
      <c r="G78" s="44">
        <v>0.7534722222222222</v>
      </c>
      <c r="H78"/>
      <c r="I78"/>
      <c r="J78"/>
      <c r="K78"/>
      <c r="L78"/>
      <c r="M78"/>
      <c r="N78"/>
      <c r="O78"/>
    </row>
    <row r="79" spans="1:15" ht="12.75">
      <c r="A79" s="19">
        <v>0</v>
      </c>
      <c r="B79" s="8">
        <f>B78</f>
        <v>6.4008</v>
      </c>
      <c r="C79" s="26" t="s">
        <v>220</v>
      </c>
      <c r="D79" s="26" t="s">
        <v>130</v>
      </c>
      <c r="E79" s="37" t="s">
        <v>181</v>
      </c>
      <c r="F79" s="44">
        <v>0.53125</v>
      </c>
      <c r="G79" s="44">
        <v>0.78125</v>
      </c>
      <c r="H79"/>
      <c r="I79"/>
      <c r="J79"/>
      <c r="K79"/>
      <c r="L79"/>
      <c r="M79"/>
      <c r="N79"/>
      <c r="O79"/>
    </row>
    <row r="80" spans="1:15" ht="12.75">
      <c r="A80" s="19">
        <f>12*1.609</f>
        <v>19.308</v>
      </c>
      <c r="B80" s="8">
        <f>B77</f>
        <v>10.0584</v>
      </c>
      <c r="C80" s="26" t="s">
        <v>219</v>
      </c>
      <c r="D80" s="26" t="s">
        <v>124</v>
      </c>
      <c r="E80" s="37" t="s">
        <v>181</v>
      </c>
      <c r="F80" s="44">
        <v>0.5520833333333334</v>
      </c>
      <c r="G80" s="44">
        <v>0.7951388888888888</v>
      </c>
      <c r="H80"/>
      <c r="I80"/>
      <c r="J80"/>
      <c r="K80"/>
      <c r="L80"/>
      <c r="M80"/>
      <c r="N80"/>
      <c r="O80"/>
    </row>
    <row r="81" spans="1:15" ht="12.75">
      <c r="A81" s="19">
        <f>A105-A97</f>
        <v>80.60999999999999</v>
      </c>
      <c r="B81" s="8">
        <f>B80</f>
        <v>10.0584</v>
      </c>
      <c r="C81" s="26" t="s">
        <v>218</v>
      </c>
      <c r="D81" s="26" t="s">
        <v>130</v>
      </c>
      <c r="E81" s="37" t="s">
        <v>181</v>
      </c>
      <c r="F81" s="44">
        <v>0.5590277777777778</v>
      </c>
      <c r="G81" s="44">
        <v>0.8055555555555556</v>
      </c>
      <c r="H81"/>
      <c r="I81"/>
      <c r="J81"/>
      <c r="K81"/>
      <c r="L81"/>
      <c r="M81"/>
      <c r="N81"/>
      <c r="O81"/>
    </row>
    <row r="82" spans="1:15" ht="12.75">
      <c r="A82" s="19">
        <f>A105-A96</f>
        <v>94.11999999999999</v>
      </c>
      <c r="B82" s="56">
        <v>38.829</v>
      </c>
      <c r="C82" s="26" t="s">
        <v>221</v>
      </c>
      <c r="D82" s="26" t="s">
        <v>124</v>
      </c>
      <c r="E82" s="37" t="s">
        <v>181</v>
      </c>
      <c r="F82" s="55">
        <v>0.5729166666666666</v>
      </c>
      <c r="G82" t="s">
        <v>222</v>
      </c>
      <c r="H82"/>
      <c r="I82"/>
      <c r="J82"/>
      <c r="K82"/>
      <c r="L82"/>
      <c r="M82"/>
      <c r="N82"/>
      <c r="O82"/>
    </row>
    <row r="83" spans="1:15" ht="12.75">
      <c r="A83" s="19">
        <f>A105-A95</f>
        <v>94.11999999999999</v>
      </c>
      <c r="B83" s="57">
        <f>B82</f>
        <v>38.829</v>
      </c>
      <c r="C83" s="26" t="s">
        <v>221</v>
      </c>
      <c r="D83" s="26" t="s">
        <v>130</v>
      </c>
      <c r="E83" s="37" t="s">
        <v>181</v>
      </c>
      <c r="F83" s="55">
        <v>0.5798611111111112</v>
      </c>
      <c r="G83"/>
      <c r="H83"/>
      <c r="I83"/>
      <c r="J83"/>
      <c r="K83"/>
      <c r="L83"/>
      <c r="M83"/>
      <c r="N83"/>
      <c r="O83"/>
    </row>
    <row r="84" spans="1:15" ht="12.75">
      <c r="A84" s="19">
        <f>A105-A94</f>
        <v>110.64999999999999</v>
      </c>
      <c r="B84" s="8">
        <f>0.3048*1063</f>
        <v>324.0024</v>
      </c>
      <c r="C84" s="26" t="s">
        <v>223</v>
      </c>
      <c r="D84" s="26" t="s">
        <v>124</v>
      </c>
      <c r="E84" s="37" t="s">
        <v>181</v>
      </c>
      <c r="F84" s="44">
        <v>0.6388888888888888</v>
      </c>
      <c r="G84"/>
      <c r="H84"/>
      <c r="I84"/>
      <c r="J84"/>
      <c r="K84"/>
      <c r="L84"/>
      <c r="M84"/>
      <c r="N84"/>
      <c r="O84"/>
    </row>
    <row r="85" spans="1:15" ht="12.75">
      <c r="A85" s="19">
        <f>A105-A93</f>
        <v>178.23</v>
      </c>
      <c r="B85" s="8">
        <f>0.3048*20</f>
        <v>6.096</v>
      </c>
      <c r="C85" s="26" t="s">
        <v>108</v>
      </c>
      <c r="D85" s="26" t="s">
        <v>124</v>
      </c>
      <c r="E85" s="44">
        <v>0.4618055555555556</v>
      </c>
      <c r="F85"/>
      <c r="G85"/>
      <c r="H85"/>
      <c r="I85"/>
      <c r="J85"/>
      <c r="K85"/>
      <c r="L85"/>
      <c r="M85"/>
      <c r="N85"/>
      <c r="O85"/>
    </row>
    <row r="86" spans="2:15" ht="12.75">
      <c r="B86" s="25"/>
      <c r="C86" t="s">
        <v>201</v>
      </c>
      <c r="D86" s="26"/>
      <c r="E86" s="26"/>
      <c r="F86" s="26"/>
      <c r="G86" s="18"/>
      <c r="H86"/>
      <c r="I86"/>
      <c r="J86"/>
      <c r="K86"/>
      <c r="L86"/>
      <c r="M86" s="35"/>
      <c r="N86" s="35"/>
      <c r="O86"/>
    </row>
    <row r="87" spans="1:15" ht="12.75">
      <c r="A87"/>
      <c r="B87" s="25"/>
      <c r="C87" s="58" t="s">
        <v>224</v>
      </c>
      <c r="D87" s="26"/>
      <c r="E87" s="59"/>
      <c r="F87"/>
      <c r="G87" s="26"/>
      <c r="H87" s="26"/>
      <c r="I87" s="26"/>
      <c r="J87"/>
      <c r="K87"/>
      <c r="L87"/>
      <c r="M87" s="35"/>
      <c r="N87" s="35"/>
      <c r="O87"/>
    </row>
    <row r="88" spans="1:15" ht="12.75">
      <c r="A88"/>
      <c r="B88" s="25"/>
      <c r="C88" s="58" t="s">
        <v>225</v>
      </c>
      <c r="D88"/>
      <c r="E88"/>
      <c r="F88"/>
      <c r="G88"/>
      <c r="H88"/>
      <c r="I88"/>
      <c r="J88"/>
      <c r="K88"/>
      <c r="L88"/>
      <c r="M88"/>
      <c r="N88" s="35"/>
      <c r="O88"/>
    </row>
    <row r="89" spans="1:15" ht="12.75">
      <c r="A89"/>
      <c r="B89" s="25"/>
      <c r="C89"/>
      <c r="D89"/>
      <c r="E89"/>
      <c r="F89"/>
      <c r="G89"/>
      <c r="H89"/>
      <c r="I89"/>
      <c r="J89"/>
      <c r="K89"/>
      <c r="L89"/>
      <c r="M89"/>
      <c r="N89"/>
      <c r="O89"/>
    </row>
    <row r="90" spans="1:15" ht="12.75">
      <c r="A90"/>
      <c r="C90"/>
      <c r="D90" s="26"/>
      <c r="E90" s="54" t="s">
        <v>61</v>
      </c>
      <c r="F90" s="29" t="s">
        <v>61</v>
      </c>
      <c r="G90" s="37" t="s">
        <v>226</v>
      </c>
      <c r="H90" s="43" t="s">
        <v>214</v>
      </c>
      <c r="I90"/>
      <c r="J90"/>
      <c r="K90"/>
      <c r="L90"/>
      <c r="M90"/>
      <c r="N90"/>
      <c r="O90"/>
    </row>
    <row r="91" spans="1:15" ht="12.75">
      <c r="A91" s="36" t="s">
        <v>2</v>
      </c>
      <c r="B91" s="37" t="s">
        <v>176</v>
      </c>
      <c r="C91" s="38" t="s">
        <v>177</v>
      </c>
      <c r="D91" s="26"/>
      <c r="E91" s="29" t="s">
        <v>62</v>
      </c>
      <c r="F91" s="29" t="s">
        <v>62</v>
      </c>
      <c r="G91" s="29" t="s">
        <v>62</v>
      </c>
      <c r="H91" s="29" t="s">
        <v>43</v>
      </c>
      <c r="I91"/>
      <c r="J91"/>
      <c r="K91"/>
      <c r="L91"/>
      <c r="M91"/>
      <c r="N91"/>
      <c r="O91"/>
    </row>
    <row r="92" spans="2:15" ht="12.75">
      <c r="B92" s="25"/>
      <c r="C92" s="26"/>
      <c r="D92" s="26"/>
      <c r="E92" s="42" t="s">
        <v>63</v>
      </c>
      <c r="F92" s="42" t="s">
        <v>63</v>
      </c>
      <c r="G92" s="42"/>
      <c r="H92" s="42" t="s">
        <v>44</v>
      </c>
      <c r="I92"/>
      <c r="J92"/>
      <c r="K92"/>
      <c r="L92"/>
      <c r="M92"/>
      <c r="N92"/>
      <c r="O92"/>
    </row>
    <row r="93" spans="1:15" ht="12.75">
      <c r="A93">
        <v>0</v>
      </c>
      <c r="B93" s="60">
        <f>B85</f>
        <v>6.096</v>
      </c>
      <c r="C93" s="26" t="s">
        <v>108</v>
      </c>
      <c r="D93" s="26" t="s">
        <v>130</v>
      </c>
      <c r="E93"/>
      <c r="F93"/>
      <c r="G93"/>
      <c r="H93" s="44">
        <v>0.75</v>
      </c>
      <c r="I93"/>
      <c r="J93"/>
      <c r="K93"/>
      <c r="L93"/>
      <c r="M93"/>
      <c r="N93"/>
      <c r="O93"/>
    </row>
    <row r="94" spans="1:15" ht="12.75">
      <c r="A94" s="5">
        <v>67.58</v>
      </c>
      <c r="B94" s="19">
        <f>B84</f>
        <v>324.0024</v>
      </c>
      <c r="C94" s="26" t="s">
        <v>223</v>
      </c>
      <c r="D94" s="26"/>
      <c r="E94"/>
      <c r="F94" s="44">
        <v>0.6458333333333334</v>
      </c>
      <c r="G94"/>
      <c r="H94" s="37" t="s">
        <v>181</v>
      </c>
      <c r="I94"/>
      <c r="J94"/>
      <c r="K94"/>
      <c r="L94"/>
      <c r="M94"/>
      <c r="N94"/>
      <c r="O94"/>
    </row>
    <row r="95" spans="1:15" ht="12.75">
      <c r="A95" s="5">
        <v>84.11</v>
      </c>
      <c r="B95" s="61">
        <f>B83</f>
        <v>38.829</v>
      </c>
      <c r="C95" s="26" t="s">
        <v>221</v>
      </c>
      <c r="D95" s="26" t="s">
        <v>124</v>
      </c>
      <c r="E95"/>
      <c r="F95" s="55">
        <v>0.6875</v>
      </c>
      <c r="G95"/>
      <c r="H95" s="37" t="s">
        <v>181</v>
      </c>
      <c r="I95"/>
      <c r="J95"/>
      <c r="K95"/>
      <c r="L95"/>
      <c r="M95"/>
      <c r="N95"/>
      <c r="O95" s="18"/>
    </row>
    <row r="96" spans="1:15" ht="12.75">
      <c r="A96" s="5">
        <v>84.11</v>
      </c>
      <c r="B96" s="57">
        <f>B95</f>
        <v>38.829</v>
      </c>
      <c r="C96" s="26" t="s">
        <v>221</v>
      </c>
      <c r="D96" s="26" t="s">
        <v>130</v>
      </c>
      <c r="E96" t="s">
        <v>227</v>
      </c>
      <c r="F96" s="55">
        <v>0.6944444444444444</v>
      </c>
      <c r="G96"/>
      <c r="H96" s="37" t="s">
        <v>181</v>
      </c>
      <c r="I96"/>
      <c r="J96"/>
      <c r="K96"/>
      <c r="L96"/>
      <c r="M96"/>
      <c r="N96"/>
      <c r="O96" s="18"/>
    </row>
    <row r="97" spans="1:15" ht="12.75">
      <c r="A97" s="5">
        <v>97.62</v>
      </c>
      <c r="B97" s="8">
        <f>B98</f>
        <v>10.0584</v>
      </c>
      <c r="C97" s="26" t="s">
        <v>218</v>
      </c>
      <c r="D97" s="26" t="s">
        <v>124</v>
      </c>
      <c r="E97" s="44">
        <v>0.4791666666666667</v>
      </c>
      <c r="F97" s="44">
        <v>0.71875</v>
      </c>
      <c r="G97"/>
      <c r="H97" s="37" t="s">
        <v>181</v>
      </c>
      <c r="I97"/>
      <c r="J97"/>
      <c r="K97"/>
      <c r="L97"/>
      <c r="M97"/>
      <c r="N97"/>
      <c r="O97" s="18"/>
    </row>
    <row r="98" spans="1:15" ht="12.75">
      <c r="A98" s="5">
        <v>97.62</v>
      </c>
      <c r="B98" s="8">
        <f>B101</f>
        <v>10.0584</v>
      </c>
      <c r="C98" s="26" t="s">
        <v>219</v>
      </c>
      <c r="D98" s="26" t="s">
        <v>130</v>
      </c>
      <c r="E98" s="44">
        <v>0.4826388888888889</v>
      </c>
      <c r="F98" s="44">
        <v>0.7291666666666666</v>
      </c>
      <c r="G98" s="62">
        <v>0.7222222222222222</v>
      </c>
      <c r="H98" s="37" t="s">
        <v>181</v>
      </c>
      <c r="I98"/>
      <c r="J98"/>
      <c r="K98"/>
      <c r="L98"/>
      <c r="M98"/>
      <c r="N98"/>
      <c r="O98"/>
    </row>
    <row r="99" spans="1:15" ht="12.75">
      <c r="A99">
        <v>117</v>
      </c>
      <c r="B99" s="8">
        <f>B100</f>
        <v>6.4008</v>
      </c>
      <c r="C99" s="26" t="s">
        <v>220</v>
      </c>
      <c r="D99" s="26" t="s">
        <v>124</v>
      </c>
      <c r="E99" s="44">
        <v>0.5034722222222222</v>
      </c>
      <c r="F99" s="44">
        <v>0.7534722222222222</v>
      </c>
      <c r="G99" s="37" t="s">
        <v>181</v>
      </c>
      <c r="H99" s="37" t="s">
        <v>181</v>
      </c>
      <c r="I99"/>
      <c r="J99"/>
      <c r="K99"/>
      <c r="L99"/>
      <c r="M99"/>
      <c r="N99"/>
      <c r="O99"/>
    </row>
    <row r="100" spans="1:15" ht="12.75">
      <c r="A100">
        <v>0</v>
      </c>
      <c r="B100" s="8">
        <f>B78</f>
        <v>6.4008</v>
      </c>
      <c r="C100" s="26" t="s">
        <v>220</v>
      </c>
      <c r="D100" s="26" t="s">
        <v>130</v>
      </c>
      <c r="E100" s="44">
        <v>0.53125</v>
      </c>
      <c r="F100" s="44">
        <v>0.78125</v>
      </c>
      <c r="G100" s="37" t="s">
        <v>181</v>
      </c>
      <c r="H100" s="37" t="s">
        <v>181</v>
      </c>
      <c r="I100"/>
      <c r="J100"/>
      <c r="K100"/>
      <c r="L100"/>
      <c r="M100"/>
      <c r="N100"/>
      <c r="O100"/>
    </row>
    <row r="101" spans="1:15" ht="12.75">
      <c r="A101" s="5">
        <f>A80</f>
        <v>19.308</v>
      </c>
      <c r="B101" s="8">
        <f>B102</f>
        <v>10.0584</v>
      </c>
      <c r="C101" s="26" t="s">
        <v>219</v>
      </c>
      <c r="D101" s="26" t="s">
        <v>124</v>
      </c>
      <c r="E101" s="44">
        <v>0.5520833333333334</v>
      </c>
      <c r="F101" s="44">
        <v>0.7951388888888888</v>
      </c>
      <c r="G101" s="37" t="s">
        <v>181</v>
      </c>
      <c r="H101" s="37" t="s">
        <v>181</v>
      </c>
      <c r="I101"/>
      <c r="J101"/>
      <c r="K101"/>
      <c r="L101"/>
      <c r="M101"/>
      <c r="N101"/>
      <c r="O101"/>
    </row>
    <row r="102" spans="1:15" ht="12.75">
      <c r="A102" s="5">
        <v>97.62</v>
      </c>
      <c r="B102" s="8">
        <f>B76</f>
        <v>10.0584</v>
      </c>
      <c r="C102" s="26" t="s">
        <v>218</v>
      </c>
      <c r="D102" s="26" t="s">
        <v>130</v>
      </c>
      <c r="E102" s="44">
        <v>0.5590277777777778</v>
      </c>
      <c r="F102" s="44">
        <v>0.8055555555555556</v>
      </c>
      <c r="G102" s="37" t="s">
        <v>181</v>
      </c>
      <c r="H102" s="37" t="s">
        <v>181</v>
      </c>
      <c r="I102"/>
      <c r="J102"/>
      <c r="K102"/>
      <c r="L102"/>
      <c r="M102"/>
      <c r="N102"/>
      <c r="O102"/>
    </row>
    <row r="103" spans="1:15" ht="12.75">
      <c r="A103" s="5">
        <v>114.19</v>
      </c>
      <c r="B103" s="8">
        <f>B74</f>
        <v>12.192</v>
      </c>
      <c r="C103" s="26" t="s">
        <v>215</v>
      </c>
      <c r="D103" s="44" t="s">
        <v>124</v>
      </c>
      <c r="E103" s="50" t="s">
        <v>66</v>
      </c>
      <c r="F103" s="44">
        <v>0.8159722222222222</v>
      </c>
      <c r="G103" s="37" t="s">
        <v>181</v>
      </c>
      <c r="H103" s="44">
        <v>0.8680555555555556</v>
      </c>
      <c r="I103"/>
      <c r="J103"/>
      <c r="K103"/>
      <c r="L103"/>
      <c r="M103"/>
      <c r="N103"/>
      <c r="O103"/>
    </row>
    <row r="104" spans="1:15" ht="12.75">
      <c r="A104" s="5">
        <v>114.19</v>
      </c>
      <c r="B104" s="8">
        <f>B103</f>
        <v>12.192</v>
      </c>
      <c r="C104" s="50" t="s">
        <v>215</v>
      </c>
      <c r="D104" t="s">
        <v>130</v>
      </c>
      <c r="E104"/>
      <c r="F104" s="44">
        <v>0.8194444444444444</v>
      </c>
      <c r="G104" s="37" t="s">
        <v>181</v>
      </c>
      <c r="H104" s="55" t="s">
        <v>228</v>
      </c>
      <c r="I104"/>
      <c r="J104"/>
      <c r="K104"/>
      <c r="L104"/>
      <c r="M104"/>
      <c r="N104"/>
      <c r="O104"/>
    </row>
    <row r="105" spans="1:15" ht="12.75">
      <c r="A105" s="5">
        <v>178.23</v>
      </c>
      <c r="B105" s="8">
        <f>B73</f>
        <v>11.5824</v>
      </c>
      <c r="C105" s="26" t="s">
        <v>122</v>
      </c>
      <c r="D105" s="26" t="s">
        <v>124</v>
      </c>
      <c r="E105"/>
      <c r="F105" s="44">
        <v>0.8854166666666666</v>
      </c>
      <c r="G105" s="62">
        <v>0.78125</v>
      </c>
      <c r="H105" s="44">
        <v>0.9270833333333334</v>
      </c>
      <c r="I105"/>
      <c r="J105"/>
      <c r="K105"/>
      <c r="L105"/>
      <c r="M105"/>
      <c r="N105"/>
      <c r="O105"/>
    </row>
    <row r="106" spans="1:15" ht="12.75">
      <c r="A106"/>
      <c r="C106" s="58" t="s">
        <v>225</v>
      </c>
      <c r="D106" s="26"/>
      <c r="E106"/>
      <c r="F106"/>
      <c r="G106"/>
      <c r="H106" s="26"/>
      <c r="I106" s="26"/>
      <c r="J106" s="26"/>
      <c r="K106"/>
      <c r="L106"/>
      <c r="M106"/>
      <c r="N106"/>
      <c r="O106"/>
    </row>
    <row r="107" spans="1:15" ht="12.75">
      <c r="A107"/>
      <c r="C107" t="s">
        <v>201</v>
      </c>
      <c r="D107" s="26"/>
      <c r="E107"/>
      <c r="F107"/>
      <c r="G107"/>
      <c r="H107"/>
      <c r="I107"/>
      <c r="J107"/>
      <c r="K107"/>
      <c r="L107"/>
      <c r="M107"/>
      <c r="N107"/>
      <c r="O107"/>
    </row>
    <row r="108" spans="3:15" ht="12.75">
      <c r="C108" s="58" t="s">
        <v>224</v>
      </c>
      <c r="D108" s="26"/>
      <c r="E108" s="26"/>
      <c r="F108" s="26"/>
      <c r="G108" s="26"/>
      <c r="H108" s="26"/>
      <c r="I108" s="26"/>
      <c r="J108" s="26"/>
      <c r="K108"/>
      <c r="L108"/>
      <c r="M108"/>
      <c r="N108"/>
      <c r="O108"/>
    </row>
    <row r="109" spans="1:15" ht="12.75">
      <c r="A109"/>
      <c r="C109"/>
      <c r="D109" s="26"/>
      <c r="E109" s="26"/>
      <c r="F109" s="26"/>
      <c r="G109" s="26"/>
      <c r="H109" s="26"/>
      <c r="I109" s="26"/>
      <c r="J109" s="26"/>
      <c r="L109"/>
      <c r="M109"/>
      <c r="N109"/>
      <c r="O109"/>
    </row>
    <row r="110" spans="1:252" ht="12.75">
      <c r="A110"/>
      <c r="C110" s="2"/>
      <c r="D110" s="26"/>
      <c r="E110" s="26"/>
      <c r="F110" s="26"/>
      <c r="G110" s="26"/>
      <c r="H110" s="26"/>
      <c r="I110" s="26"/>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row>
    <row r="111" spans="3:252" ht="12.75">
      <c r="C111"/>
      <c r="D111" s="26"/>
      <c r="E111" s="26"/>
      <c r="F111" s="26"/>
      <c r="G111" s="26"/>
      <c r="H111" s="26"/>
      <c r="I111" s="26"/>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row>
    <row r="112" spans="10:252" ht="12.75">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row>
    <row r="113" spans="1:253" ht="12.75">
      <c r="A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row>
    <row r="114" spans="1:253" ht="12.75">
      <c r="A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row>
    <row r="115" spans="1:15" ht="12.75">
      <c r="A115"/>
      <c r="C115"/>
      <c r="D115"/>
      <c r="E115"/>
      <c r="F115"/>
      <c r="G115"/>
      <c r="H115"/>
      <c r="L115"/>
      <c r="M115"/>
      <c r="N115"/>
      <c r="O115"/>
    </row>
    <row r="116" spans="12:15" ht="12.75">
      <c r="L116"/>
      <c r="M116"/>
      <c r="N116"/>
      <c r="O116"/>
    </row>
    <row r="117" spans="12:15" ht="12.75">
      <c r="L117"/>
      <c r="M117"/>
      <c r="N117"/>
      <c r="O117"/>
    </row>
    <row r="118" spans="1:252" ht="12.75">
      <c r="A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row>
    <row r="119" spans="12:15" ht="12.75">
      <c r="L119"/>
      <c r="M119"/>
      <c r="N119"/>
      <c r="O119"/>
    </row>
    <row r="120" spans="12:15" ht="12.75">
      <c r="L120"/>
      <c r="M120"/>
      <c r="N120"/>
      <c r="O120"/>
    </row>
    <row r="121" spans="12:15" ht="12.75">
      <c r="L121"/>
      <c r="M121"/>
      <c r="N121"/>
      <c r="O121"/>
    </row>
    <row r="122" spans="12:15" ht="12.75">
      <c r="L122"/>
      <c r="M122"/>
      <c r="N122"/>
      <c r="O122"/>
    </row>
    <row r="123" spans="12:15" ht="12.75">
      <c r="L123"/>
      <c r="M123"/>
      <c r="N123"/>
      <c r="O123"/>
    </row>
    <row r="124" spans="12:15" ht="12.75">
      <c r="L124"/>
      <c r="M124"/>
      <c r="N124"/>
      <c r="O124"/>
    </row>
    <row r="125" spans="12:15" ht="12.75">
      <c r="L125"/>
      <c r="M125"/>
      <c r="N125"/>
      <c r="O125"/>
    </row>
    <row r="126" spans="12:15" ht="12.75">
      <c r="L126"/>
      <c r="M126"/>
      <c r="N126"/>
      <c r="O126"/>
    </row>
    <row r="127" spans="12:15" ht="12.75">
      <c r="L127"/>
      <c r="M127"/>
      <c r="N127"/>
      <c r="O127"/>
    </row>
    <row r="128" spans="12:15" ht="12.75">
      <c r="L128"/>
      <c r="M128"/>
      <c r="N128"/>
      <c r="O128"/>
    </row>
    <row r="129" spans="12:15" ht="12.75">
      <c r="L129"/>
      <c r="M129"/>
      <c r="N129"/>
      <c r="O129"/>
    </row>
    <row r="130" spans="12:15" ht="12.75">
      <c r="L130"/>
      <c r="M130"/>
      <c r="N130"/>
      <c r="O130"/>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Roman,Standaard"&amp;12&amp;A</oddHeader>
    <oddFooter>&amp;C&amp;"Times New Roman,Standaard"&amp;12Pagina &amp;P</oddFooter>
  </headerFooter>
</worksheet>
</file>

<file path=xl/worksheets/sheet3.xml><?xml version="1.0" encoding="utf-8"?>
<worksheet xmlns="http://schemas.openxmlformats.org/spreadsheetml/2006/main" xmlns:r="http://schemas.openxmlformats.org/officeDocument/2006/relationships">
  <dimension ref="A1:U47"/>
  <sheetViews>
    <sheetView zoomScale="80" zoomScaleNormal="80" workbookViewId="0" topLeftCell="A1">
      <selection activeCell="A1" sqref="A1"/>
    </sheetView>
  </sheetViews>
  <sheetFormatPr defaultColWidth="12.57421875" defaultRowHeight="12.75"/>
  <cols>
    <col min="1" max="2" width="4.8515625" style="0" customWidth="1"/>
    <col min="3" max="3" width="19.421875" style="0" customWidth="1"/>
    <col min="4" max="4" width="2.140625" style="0" customWidth="1"/>
    <col min="5" max="16384" width="11.57421875" style="0" customWidth="1"/>
  </cols>
  <sheetData>
    <row r="1" spans="1:21" ht="12.75">
      <c r="A1" s="27">
        <v>2015</v>
      </c>
      <c r="C1" s="41" t="s">
        <v>229</v>
      </c>
      <c r="E1" s="37" t="s">
        <v>20</v>
      </c>
      <c r="F1" s="37" t="s">
        <v>30</v>
      </c>
      <c r="G1" s="37" t="s">
        <v>35</v>
      </c>
      <c r="H1" s="37" t="s">
        <v>226</v>
      </c>
      <c r="I1" s="37" t="s">
        <v>39</v>
      </c>
      <c r="J1" s="37" t="s">
        <v>30</v>
      </c>
      <c r="K1" s="37" t="s">
        <v>35</v>
      </c>
      <c r="L1" s="37" t="s">
        <v>226</v>
      </c>
      <c r="M1" s="37" t="s">
        <v>35</v>
      </c>
      <c r="N1" s="18"/>
      <c r="O1" s="37"/>
      <c r="Q1" s="37"/>
      <c r="R1" s="37"/>
      <c r="U1" s="18"/>
    </row>
    <row r="2" spans="1:14" ht="12.75">
      <c r="A2" s="37" t="s">
        <v>2</v>
      </c>
      <c r="B2" s="37" t="s">
        <v>176</v>
      </c>
      <c r="C2" s="41" t="s">
        <v>177</v>
      </c>
      <c r="E2" s="18">
        <v>1</v>
      </c>
      <c r="F2" s="18">
        <v>21</v>
      </c>
      <c r="G2" s="18">
        <v>31</v>
      </c>
      <c r="I2" s="18" t="s">
        <v>38</v>
      </c>
      <c r="J2" s="18">
        <v>23</v>
      </c>
      <c r="K2" s="18">
        <v>41</v>
      </c>
      <c r="M2" s="18">
        <v>51</v>
      </c>
      <c r="N2" s="18"/>
    </row>
    <row r="3" spans="5:18" ht="23.25">
      <c r="E3" s="63" t="s">
        <v>21</v>
      </c>
      <c r="F3" s="37" t="s">
        <v>31</v>
      </c>
      <c r="G3" s="37" t="s">
        <v>31</v>
      </c>
      <c r="H3" s="37" t="s">
        <v>27</v>
      </c>
      <c r="I3" s="63" t="s">
        <v>40</v>
      </c>
      <c r="J3" s="37" t="s">
        <v>31</v>
      </c>
      <c r="K3" s="37" t="s">
        <v>31</v>
      </c>
      <c r="L3" s="37" t="s">
        <v>230</v>
      </c>
      <c r="M3" s="63" t="s">
        <v>37</v>
      </c>
      <c r="N3" s="18"/>
      <c r="O3" s="37"/>
      <c r="Q3" s="37"/>
      <c r="R3" s="37"/>
    </row>
    <row r="4" spans="1:18" ht="12.75">
      <c r="A4" s="37"/>
      <c r="B4" s="37"/>
      <c r="E4" s="37"/>
      <c r="F4" s="37" t="s">
        <v>32</v>
      </c>
      <c r="G4" s="37" t="s">
        <v>32</v>
      </c>
      <c r="H4" s="37"/>
      <c r="I4" s="37"/>
      <c r="J4" s="37" t="s">
        <v>32</v>
      </c>
      <c r="K4" s="37" t="s">
        <v>32</v>
      </c>
      <c r="L4" s="37"/>
      <c r="M4" s="37" t="s">
        <v>32</v>
      </c>
      <c r="N4" s="18"/>
      <c r="O4" s="37"/>
      <c r="Q4" s="37"/>
      <c r="R4" s="37"/>
    </row>
    <row r="5" spans="1:18" ht="12.75">
      <c r="A5" s="5">
        <v>0</v>
      </c>
      <c r="B5" s="5">
        <v>0</v>
      </c>
      <c r="C5" t="s">
        <v>231</v>
      </c>
      <c r="D5" t="s">
        <v>130</v>
      </c>
      <c r="E5" s="44">
        <v>0.3125</v>
      </c>
      <c r="G5" s="64">
        <v>0.3444444444444445</v>
      </c>
      <c r="H5" s="65">
        <v>0.3541666666666667</v>
      </c>
      <c r="I5" s="64">
        <v>0.5</v>
      </c>
      <c r="K5" s="64">
        <v>0.5263888888888889</v>
      </c>
      <c r="L5" s="65">
        <v>0.5833333333333334</v>
      </c>
      <c r="M5" s="64">
        <v>0.6875</v>
      </c>
      <c r="N5" s="18"/>
      <c r="R5" s="66"/>
    </row>
    <row r="6" spans="1:18" ht="12.75">
      <c r="A6" s="5">
        <v>2.73</v>
      </c>
      <c r="B6" s="5">
        <v>0</v>
      </c>
      <c r="C6" t="s">
        <v>232</v>
      </c>
      <c r="E6" s="67" t="s">
        <v>181</v>
      </c>
      <c r="F6" s="68">
        <v>0.3194444444444444</v>
      </c>
      <c r="G6" s="67" t="s">
        <v>181</v>
      </c>
      <c r="H6" s="37" t="s">
        <v>181</v>
      </c>
      <c r="I6" s="67" t="s">
        <v>181</v>
      </c>
      <c r="J6" s="64">
        <v>0.5069444444444444</v>
      </c>
      <c r="K6" s="67" t="s">
        <v>181</v>
      </c>
      <c r="L6" s="37" t="s">
        <v>181</v>
      </c>
      <c r="M6" s="67" t="s">
        <v>181</v>
      </c>
      <c r="N6" s="18"/>
      <c r="R6" s="37"/>
    </row>
    <row r="7" spans="1:18" ht="12.75">
      <c r="A7" s="5">
        <v>8.53</v>
      </c>
      <c r="B7" s="5">
        <f>0.3048*402</f>
        <v>122.5296</v>
      </c>
      <c r="C7" t="s">
        <v>233</v>
      </c>
      <c r="E7" s="67" t="s">
        <v>181</v>
      </c>
      <c r="F7" s="64">
        <v>0.3333333333333333</v>
      </c>
      <c r="G7" s="67" t="s">
        <v>181</v>
      </c>
      <c r="H7" s="37" t="s">
        <v>181</v>
      </c>
      <c r="I7" s="67" t="s">
        <v>181</v>
      </c>
      <c r="J7" s="64">
        <v>0.5208333333333334</v>
      </c>
      <c r="K7" s="67" t="s">
        <v>181</v>
      </c>
      <c r="L7" s="37" t="s">
        <v>181</v>
      </c>
      <c r="M7" s="67" t="s">
        <v>181</v>
      </c>
      <c r="N7" s="18"/>
      <c r="R7" s="37"/>
    </row>
    <row r="8" spans="1:18" ht="12.75">
      <c r="A8" s="5">
        <v>12.73</v>
      </c>
      <c r="B8" s="5">
        <f>0.3048*849</f>
        <v>258.77520000000004</v>
      </c>
      <c r="C8" t="s">
        <v>234</v>
      </c>
      <c r="E8" s="67" t="s">
        <v>181</v>
      </c>
      <c r="F8" s="64">
        <v>0.3402777777777778</v>
      </c>
      <c r="G8" s="67" t="s">
        <v>181</v>
      </c>
      <c r="H8" s="37" t="s">
        <v>181</v>
      </c>
      <c r="I8" s="67" t="s">
        <v>181</v>
      </c>
      <c r="J8" s="64">
        <v>0.5277777777777778</v>
      </c>
      <c r="K8" s="67" t="s">
        <v>181</v>
      </c>
      <c r="L8" s="37" t="s">
        <v>181</v>
      </c>
      <c r="M8" s="67" t="s">
        <v>181</v>
      </c>
      <c r="N8" s="18"/>
      <c r="R8" s="37"/>
    </row>
    <row r="9" spans="1:18" ht="12.75">
      <c r="A9" s="5">
        <v>21.73</v>
      </c>
      <c r="B9" s="5">
        <f>0.3048*1871</f>
        <v>570.2808</v>
      </c>
      <c r="C9" t="s">
        <v>235</v>
      </c>
      <c r="E9" s="64">
        <v>0.34097222222222223</v>
      </c>
      <c r="F9" s="64">
        <v>0.3548611111111111</v>
      </c>
      <c r="G9" s="64">
        <v>0.38055555555555554</v>
      </c>
      <c r="H9" s="37" t="s">
        <v>181</v>
      </c>
      <c r="I9" s="64">
        <f>J9-1/48</f>
        <v>0.5215277777777777</v>
      </c>
      <c r="J9" s="64">
        <v>0.5423611111111111</v>
      </c>
      <c r="K9" s="64">
        <v>0.5625</v>
      </c>
      <c r="L9" s="37" t="s">
        <v>181</v>
      </c>
      <c r="M9" s="64">
        <v>0.7236111111111111</v>
      </c>
      <c r="N9" s="18"/>
      <c r="R9" s="37"/>
    </row>
    <row r="10" spans="1:18" ht="12.75">
      <c r="A10" s="5">
        <v>31.83</v>
      </c>
      <c r="B10" s="5">
        <f>0.3048*2885</f>
        <v>879.3480000000001</v>
      </c>
      <c r="C10" t="s">
        <v>236</v>
      </c>
      <c r="D10" t="s">
        <v>124</v>
      </c>
      <c r="E10" s="64">
        <v>0.35833333333333334</v>
      </c>
      <c r="F10" s="64">
        <v>0.37222222222222223</v>
      </c>
      <c r="G10" s="64">
        <v>0.3979166666666667</v>
      </c>
      <c r="H10" s="37" t="s">
        <v>181</v>
      </c>
      <c r="I10" s="64">
        <v>0.5527777777777778</v>
      </c>
      <c r="J10" s="64">
        <v>0.5597222222222222</v>
      </c>
      <c r="K10" s="64">
        <v>0.579861111111111</v>
      </c>
      <c r="L10" s="37" t="s">
        <v>181</v>
      </c>
      <c r="M10" s="64">
        <v>0.7409722222222223</v>
      </c>
      <c r="N10" s="18"/>
      <c r="R10" s="37"/>
    </row>
    <row r="11" spans="1:18" ht="12.75">
      <c r="A11" s="5">
        <v>31.83</v>
      </c>
      <c r="B11" s="5">
        <f>0.3048*2885</f>
        <v>879.3480000000001</v>
      </c>
      <c r="C11" t="s">
        <v>237</v>
      </c>
      <c r="D11" t="s">
        <v>130</v>
      </c>
      <c r="E11" s="64">
        <v>0.40208333333333335</v>
      </c>
      <c r="F11" s="64">
        <v>0.41597222222222224</v>
      </c>
      <c r="G11" s="65"/>
      <c r="H11" s="37" t="s">
        <v>181</v>
      </c>
      <c r="I11" s="64">
        <v>0.5965277777777778</v>
      </c>
      <c r="J11" s="64">
        <v>0.6034722222222222</v>
      </c>
      <c r="K11" s="65"/>
      <c r="L11" s="37" t="s">
        <v>181</v>
      </c>
      <c r="M11" s="18"/>
      <c r="N11" s="18"/>
      <c r="R11" s="37"/>
    </row>
    <row r="12" spans="1:18" ht="12.75">
      <c r="A12" s="5">
        <v>43.63</v>
      </c>
      <c r="B12" s="5">
        <f>0.3048*2767</f>
        <v>843.3816</v>
      </c>
      <c r="C12" t="s">
        <v>30</v>
      </c>
      <c r="D12" t="s">
        <v>124</v>
      </c>
      <c r="E12" s="64">
        <v>0.4131944444444444</v>
      </c>
      <c r="F12" s="68">
        <v>0.4340277777777778</v>
      </c>
      <c r="G12" s="65"/>
      <c r="H12" s="37" t="s">
        <v>181</v>
      </c>
      <c r="I12" s="64">
        <v>0.611111111111111</v>
      </c>
      <c r="J12" s="68">
        <v>0.6215277777777778</v>
      </c>
      <c r="L12" s="65">
        <v>0.6666666666666666</v>
      </c>
      <c r="M12" s="18"/>
      <c r="N12" s="18"/>
      <c r="R12" s="37"/>
    </row>
    <row r="13" spans="1:18" ht="12.75">
      <c r="A13" s="5">
        <v>43.63</v>
      </c>
      <c r="B13" s="5">
        <f>0.3048*2767</f>
        <v>843.3816</v>
      </c>
      <c r="C13" t="s">
        <v>30</v>
      </c>
      <c r="D13" t="s">
        <v>130</v>
      </c>
      <c r="E13" s="64">
        <v>0.4270833333333333</v>
      </c>
      <c r="F13" s="18"/>
      <c r="G13" s="18"/>
      <c r="H13" s="37" t="s">
        <v>181</v>
      </c>
      <c r="I13" s="18"/>
      <c r="J13" s="65"/>
      <c r="L13" s="65">
        <v>0.6701388888888888</v>
      </c>
      <c r="M13" s="18"/>
      <c r="N13" s="18"/>
      <c r="O13" s="65"/>
      <c r="Q13" s="65"/>
      <c r="R13" s="37"/>
    </row>
    <row r="14" spans="1:18" ht="12.75">
      <c r="A14" s="5">
        <v>52.13</v>
      </c>
      <c r="B14" s="5">
        <f>0.3048*2916</f>
        <v>888.7968000000001</v>
      </c>
      <c r="C14" t="s">
        <v>238</v>
      </c>
      <c r="E14" s="64">
        <v>0.44027777777777777</v>
      </c>
      <c r="F14" s="67"/>
      <c r="G14" s="18"/>
      <c r="H14" s="37" t="s">
        <v>181</v>
      </c>
      <c r="I14" s="18"/>
      <c r="J14" s="67"/>
      <c r="L14" s="37" t="s">
        <v>181</v>
      </c>
      <c r="M14" s="18"/>
      <c r="N14" s="18"/>
      <c r="O14" s="37"/>
      <c r="Q14" s="37"/>
      <c r="R14" s="37"/>
    </row>
    <row r="15" spans="1:18" ht="12.75">
      <c r="A15" s="5">
        <v>64.33</v>
      </c>
      <c r="B15" s="5">
        <f>0.3048*2158</f>
        <v>657.7584</v>
      </c>
      <c r="C15" t="s">
        <v>239</v>
      </c>
      <c r="D15" t="s">
        <v>124</v>
      </c>
      <c r="E15" s="68">
        <v>0.46875</v>
      </c>
      <c r="F15" s="18"/>
      <c r="G15" s="18"/>
      <c r="H15" s="65">
        <v>0.4791666666666667</v>
      </c>
      <c r="I15" s="18"/>
      <c r="J15" s="67"/>
      <c r="L15" s="37" t="s">
        <v>181</v>
      </c>
      <c r="M15" s="18"/>
      <c r="N15" s="18"/>
      <c r="O15" s="37"/>
      <c r="Q15" s="37"/>
      <c r="R15" s="37"/>
    </row>
    <row r="16" spans="1:18" ht="12.75">
      <c r="A16" s="5">
        <v>64.33</v>
      </c>
      <c r="B16" s="5">
        <f>0.3048*2158</f>
        <v>657.7584</v>
      </c>
      <c r="C16" t="s">
        <v>240</v>
      </c>
      <c r="D16" t="s">
        <v>130</v>
      </c>
      <c r="E16" s="68">
        <v>0.5243055555555556</v>
      </c>
      <c r="F16" s="18"/>
      <c r="G16" s="18"/>
      <c r="I16" s="18"/>
      <c r="J16" s="67"/>
      <c r="L16" s="37" t="s">
        <v>181</v>
      </c>
      <c r="M16" s="18"/>
      <c r="N16" s="18"/>
      <c r="O16" s="37"/>
      <c r="Q16" s="37"/>
      <c r="R16" s="37"/>
    </row>
    <row r="17" spans="1:15" ht="12.75">
      <c r="A17" s="5">
        <v>107.63</v>
      </c>
      <c r="B17" s="5">
        <f>0.3048*2164</f>
        <v>659.5872</v>
      </c>
      <c r="C17" t="s">
        <v>241</v>
      </c>
      <c r="D17" t="s">
        <v>124</v>
      </c>
      <c r="E17" s="68">
        <v>0.5833333333333334</v>
      </c>
      <c r="F17" s="18"/>
      <c r="G17" s="18"/>
      <c r="I17" s="18"/>
      <c r="J17" s="65"/>
      <c r="L17" s="65">
        <v>0.7083333333333334</v>
      </c>
      <c r="M17" s="18"/>
      <c r="N17" s="18"/>
      <c r="O17" s="37"/>
    </row>
    <row r="18" spans="1:15" ht="12.75">
      <c r="A18" s="5">
        <v>107.63</v>
      </c>
      <c r="B18" s="5">
        <f>0.3048*2164</f>
        <v>659.5872</v>
      </c>
      <c r="C18" t="s">
        <v>20</v>
      </c>
      <c r="D18" t="s">
        <v>130</v>
      </c>
      <c r="E18" s="65">
        <v>0.7083333333333334</v>
      </c>
      <c r="F18" s="18"/>
      <c r="G18" s="18"/>
      <c r="I18" s="18"/>
      <c r="J18" s="65"/>
      <c r="L18" s="65">
        <v>0.7083333333333334</v>
      </c>
      <c r="M18" s="18"/>
      <c r="N18" s="18"/>
      <c r="O18" s="37"/>
    </row>
    <row r="19" spans="1:18" ht="12.75">
      <c r="A19" s="5">
        <v>176.83</v>
      </c>
      <c r="B19" s="5">
        <f>0.3048*2079</f>
        <v>633.6792</v>
      </c>
      <c r="C19" t="s">
        <v>242</v>
      </c>
      <c r="D19" t="s">
        <v>124</v>
      </c>
      <c r="E19" s="65">
        <v>0.7708333333333334</v>
      </c>
      <c r="F19" s="18"/>
      <c r="G19" s="18"/>
      <c r="I19" s="18"/>
      <c r="J19" s="65"/>
      <c r="L19" s="65">
        <v>0.7708333333333334</v>
      </c>
      <c r="M19" s="18"/>
      <c r="N19" s="18"/>
      <c r="O19" s="65"/>
      <c r="R19" s="65"/>
    </row>
    <row r="20" spans="3:14" ht="12.75">
      <c r="C20" t="s">
        <v>243</v>
      </c>
      <c r="E20" s="18"/>
      <c r="F20" s="18"/>
      <c r="G20" s="18"/>
      <c r="I20" s="18"/>
      <c r="N20" s="18"/>
    </row>
    <row r="21" spans="3:9" ht="12.75">
      <c r="C21" t="s">
        <v>244</v>
      </c>
      <c r="F21" s="37"/>
      <c r="H21" s="37"/>
      <c r="I21" s="37"/>
    </row>
    <row r="22" ht="12.75">
      <c r="C22" t="s">
        <v>245</v>
      </c>
    </row>
    <row r="23" spans="3:9" ht="12.75">
      <c r="C23" t="s">
        <v>246</v>
      </c>
      <c r="I23" s="69"/>
    </row>
    <row r="25" spans="3:15" ht="12.75">
      <c r="C25" s="41" t="s">
        <v>229</v>
      </c>
      <c r="E25" s="37" t="s">
        <v>226</v>
      </c>
      <c r="F25" s="37" t="s">
        <v>35</v>
      </c>
      <c r="G25" s="37" t="s">
        <v>30</v>
      </c>
      <c r="H25" s="37" t="s">
        <v>35</v>
      </c>
      <c r="I25" s="37" t="s">
        <v>226</v>
      </c>
      <c r="J25" s="37" t="s">
        <v>39</v>
      </c>
      <c r="K25" s="37" t="s">
        <v>30</v>
      </c>
      <c r="L25" s="37" t="s">
        <v>20</v>
      </c>
      <c r="M25" s="37" t="s">
        <v>226</v>
      </c>
      <c r="N25" s="37" t="s">
        <v>35</v>
      </c>
      <c r="O25" s="18"/>
    </row>
    <row r="26" spans="1:15" ht="12.75">
      <c r="A26" s="37" t="s">
        <v>2</v>
      </c>
      <c r="B26" s="37" t="s">
        <v>176</v>
      </c>
      <c r="C26" s="41" t="s">
        <v>203</v>
      </c>
      <c r="F26" s="18">
        <v>32</v>
      </c>
      <c r="G26" s="18">
        <v>22</v>
      </c>
      <c r="H26" s="18">
        <v>42</v>
      </c>
      <c r="J26" s="18" t="s">
        <v>38</v>
      </c>
      <c r="K26" s="18">
        <v>24</v>
      </c>
      <c r="L26" s="18">
        <v>2</v>
      </c>
      <c r="M26" s="18"/>
      <c r="N26" s="18">
        <v>52</v>
      </c>
      <c r="O26" s="18"/>
    </row>
    <row r="27" spans="5:15" ht="23.25">
      <c r="E27" s="37" t="s">
        <v>247</v>
      </c>
      <c r="F27" s="37" t="s">
        <v>31</v>
      </c>
      <c r="G27" s="37" t="s">
        <v>31</v>
      </c>
      <c r="H27" s="37" t="s">
        <v>31</v>
      </c>
      <c r="I27" s="63" t="s">
        <v>21</v>
      </c>
      <c r="J27" s="63" t="s">
        <v>40</v>
      </c>
      <c r="K27" s="37" t="s">
        <v>31</v>
      </c>
      <c r="L27" s="37" t="s">
        <v>27</v>
      </c>
      <c r="M27" s="63" t="s">
        <v>248</v>
      </c>
      <c r="N27" s="63" t="s">
        <v>37</v>
      </c>
      <c r="O27" s="18"/>
    </row>
    <row r="28" spans="5:15" ht="12.75">
      <c r="E28" s="37"/>
      <c r="F28" s="37" t="s">
        <v>32</v>
      </c>
      <c r="G28" s="37" t="s">
        <v>32</v>
      </c>
      <c r="H28" s="37" t="s">
        <v>32</v>
      </c>
      <c r="I28" s="37"/>
      <c r="J28" s="37"/>
      <c r="K28" s="37" t="s">
        <v>32</v>
      </c>
      <c r="L28" s="37"/>
      <c r="M28" s="37"/>
      <c r="N28" s="37" t="s">
        <v>32</v>
      </c>
      <c r="O28" s="18"/>
    </row>
    <row r="29" spans="1:15" ht="12.75">
      <c r="A29" s="5">
        <f>A19-A19</f>
        <v>0</v>
      </c>
      <c r="B29" s="5">
        <f>0.3048*2079</f>
        <v>633.6792</v>
      </c>
      <c r="C29" t="s">
        <v>242</v>
      </c>
      <c r="D29" t="s">
        <v>130</v>
      </c>
      <c r="E29" s="66">
        <v>0.3541666666666667</v>
      </c>
      <c r="F29" s="18"/>
      <c r="H29" s="18"/>
      <c r="J29" s="18"/>
      <c r="K29" s="18"/>
      <c r="L29" s="66">
        <v>0.3541666666666667</v>
      </c>
      <c r="M29" s="18"/>
      <c r="N29" s="18"/>
      <c r="O29" s="18"/>
    </row>
    <row r="30" spans="1:15" ht="12.75">
      <c r="A30" s="47">
        <f>A19-A18</f>
        <v>69.20000000000002</v>
      </c>
      <c r="B30" s="5">
        <f>0.3048*2164</f>
        <v>659.5872</v>
      </c>
      <c r="C30" t="s">
        <v>20</v>
      </c>
      <c r="D30" t="s">
        <v>124</v>
      </c>
      <c r="E30" s="37" t="s">
        <v>181</v>
      </c>
      <c r="F30" s="18"/>
      <c r="H30" s="18"/>
      <c r="J30" s="18"/>
      <c r="K30" s="18"/>
      <c r="L30" s="66">
        <v>0.40625</v>
      </c>
      <c r="M30" s="18"/>
      <c r="N30" s="18"/>
      <c r="O30" s="18"/>
    </row>
    <row r="31" spans="1:15" ht="12.75">
      <c r="A31" s="47">
        <f>A19-A17</f>
        <v>69.20000000000002</v>
      </c>
      <c r="B31" s="5">
        <f>0.3048*2164</f>
        <v>659.5872</v>
      </c>
      <c r="C31" t="s">
        <v>241</v>
      </c>
      <c r="D31" t="s">
        <v>130</v>
      </c>
      <c r="E31" s="37" t="s">
        <v>181</v>
      </c>
      <c r="F31" s="18"/>
      <c r="H31" s="18"/>
      <c r="I31" s="65">
        <v>0.5208333333333334</v>
      </c>
      <c r="J31" s="18"/>
      <c r="K31" s="18"/>
      <c r="L31" s="64">
        <v>0.5208333333333334</v>
      </c>
      <c r="M31" s="65">
        <v>0.6736111111111112</v>
      </c>
      <c r="N31" s="18"/>
      <c r="O31" s="18"/>
    </row>
    <row r="32" spans="1:15" ht="12.75">
      <c r="A32" s="47">
        <f>A19-A16</f>
        <v>112.50000000000001</v>
      </c>
      <c r="B32" s="5">
        <f>0.3048*2158</f>
        <v>657.7584</v>
      </c>
      <c r="C32" t="s">
        <v>240</v>
      </c>
      <c r="D32" t="s">
        <v>124</v>
      </c>
      <c r="E32" s="37" t="s">
        <v>181</v>
      </c>
      <c r="F32" s="18"/>
      <c r="H32" s="18"/>
      <c r="I32" s="37" t="s">
        <v>181</v>
      </c>
      <c r="J32" s="18"/>
      <c r="K32" s="18"/>
      <c r="L32" s="64">
        <v>0.5798611111111112</v>
      </c>
      <c r="M32" s="37" t="s">
        <v>181</v>
      </c>
      <c r="N32" s="18"/>
      <c r="O32" s="18"/>
    </row>
    <row r="33" spans="1:15" ht="12.75">
      <c r="A33" s="47">
        <f>A19-A15</f>
        <v>112.50000000000001</v>
      </c>
      <c r="B33" s="5">
        <f>0.3048*2158</f>
        <v>657.7584</v>
      </c>
      <c r="C33" t="s">
        <v>239</v>
      </c>
      <c r="D33" t="s">
        <v>130</v>
      </c>
      <c r="E33" s="37" t="s">
        <v>181</v>
      </c>
      <c r="F33" s="18"/>
      <c r="H33" s="18"/>
      <c r="I33" s="37" t="s">
        <v>181</v>
      </c>
      <c r="J33" s="18"/>
      <c r="K33" s="18"/>
      <c r="L33" s="64">
        <v>0.6319444444444444</v>
      </c>
      <c r="M33" s="37" t="s">
        <v>181</v>
      </c>
      <c r="N33" s="18"/>
      <c r="O33" s="18"/>
    </row>
    <row r="34" spans="1:15" ht="12.75">
      <c r="A34" s="47">
        <f>A19-A13</f>
        <v>133.20000000000002</v>
      </c>
      <c r="B34" s="5">
        <f>0.3048*2767</f>
        <v>843.3816</v>
      </c>
      <c r="C34" t="s">
        <v>30</v>
      </c>
      <c r="D34" t="s">
        <v>124</v>
      </c>
      <c r="E34" s="66">
        <v>0.4548611111111111</v>
      </c>
      <c r="F34" s="18"/>
      <c r="H34" s="18"/>
      <c r="I34" s="65">
        <v>0.5625</v>
      </c>
      <c r="J34" s="18"/>
      <c r="K34" s="18"/>
      <c r="L34" s="70">
        <v>0.6631944444444444</v>
      </c>
      <c r="M34" s="65">
        <v>0.7013888888888888</v>
      </c>
      <c r="N34" s="18"/>
      <c r="O34" s="18"/>
    </row>
    <row r="35" spans="1:15" ht="12.75">
      <c r="A35" s="47">
        <f>A19-A12</f>
        <v>133.20000000000002</v>
      </c>
      <c r="B35" s="5">
        <f>0.3048*2767</f>
        <v>843.3816</v>
      </c>
      <c r="C35" t="s">
        <v>30</v>
      </c>
      <c r="D35" t="s">
        <v>130</v>
      </c>
      <c r="E35" s="66">
        <v>0.4583333333333333</v>
      </c>
      <c r="F35" s="18"/>
      <c r="G35" s="70">
        <v>0.47222222222222227</v>
      </c>
      <c r="H35" s="18"/>
      <c r="J35" s="70">
        <v>0.6354166666666666</v>
      </c>
      <c r="K35" s="70">
        <v>0.65625</v>
      </c>
      <c r="L35" s="64">
        <v>0.6666666666666666</v>
      </c>
      <c r="M35" s="65">
        <v>0.7048611111111112</v>
      </c>
      <c r="N35" s="18"/>
      <c r="O35" s="18"/>
    </row>
    <row r="36" spans="1:15" ht="12.75">
      <c r="A36" s="47">
        <f>A19-A11</f>
        <v>145</v>
      </c>
      <c r="B36" s="5">
        <f>0.3048*2885</f>
        <v>879.3480000000001</v>
      </c>
      <c r="C36" t="s">
        <v>237</v>
      </c>
      <c r="D36" t="s">
        <v>124</v>
      </c>
      <c r="E36" s="37" t="s">
        <v>181</v>
      </c>
      <c r="F36" s="18"/>
      <c r="G36" s="70">
        <v>0.4847222222222222</v>
      </c>
      <c r="H36" s="18"/>
      <c r="J36" s="70">
        <v>0.6479166666666667</v>
      </c>
      <c r="K36" s="70">
        <v>0.66875</v>
      </c>
      <c r="L36" s="64">
        <v>0.6805555555555556</v>
      </c>
      <c r="M36" s="37" t="s">
        <v>181</v>
      </c>
      <c r="N36" s="18"/>
      <c r="O36" s="18"/>
    </row>
    <row r="37" spans="1:15" ht="12.75">
      <c r="A37" s="47">
        <f>A19-A10</f>
        <v>145</v>
      </c>
      <c r="B37" s="5">
        <f>0.3048*2885</f>
        <v>879.3480000000001</v>
      </c>
      <c r="C37" t="s">
        <v>236</v>
      </c>
      <c r="D37" t="s">
        <v>130</v>
      </c>
      <c r="E37" s="37" t="s">
        <v>181</v>
      </c>
      <c r="F37" s="64">
        <v>0.41875</v>
      </c>
      <c r="G37" s="64">
        <v>0.4451388888888889</v>
      </c>
      <c r="H37" s="64">
        <v>0.6006944444444444</v>
      </c>
      <c r="J37" s="64">
        <v>0.6083333333333333</v>
      </c>
      <c r="K37" s="64">
        <v>0.6291666666666667</v>
      </c>
      <c r="L37" s="64">
        <v>0.6388888888888888</v>
      </c>
      <c r="M37" s="37" t="s">
        <v>181</v>
      </c>
      <c r="N37" s="64">
        <v>0.7465277777777778</v>
      </c>
      <c r="O37" s="18"/>
    </row>
    <row r="38" spans="1:15" ht="12.75">
      <c r="A38" s="47">
        <f>A19-A9</f>
        <v>155.10000000000002</v>
      </c>
      <c r="B38" s="5">
        <f>0.3048*1871</f>
        <v>570.2808</v>
      </c>
      <c r="C38" t="s">
        <v>235</v>
      </c>
      <c r="E38" s="37" t="s">
        <v>181</v>
      </c>
      <c r="F38" s="64">
        <v>0.4381944444444445</v>
      </c>
      <c r="G38" s="64">
        <v>0.46458333333333335</v>
      </c>
      <c r="H38" s="64">
        <v>0.6201388888888889</v>
      </c>
      <c r="J38" s="64">
        <v>0.6277777777777778</v>
      </c>
      <c r="K38" s="64">
        <v>0.6486111111111111</v>
      </c>
      <c r="L38" s="64">
        <v>0.6597222222222222</v>
      </c>
      <c r="M38" s="37" t="s">
        <v>181</v>
      </c>
      <c r="N38" s="64">
        <v>0.7659722222222222</v>
      </c>
      <c r="O38" s="18"/>
    </row>
    <row r="39" spans="1:15" ht="12.75">
      <c r="A39" s="47">
        <f>A19-A8</f>
        <v>164.10000000000002</v>
      </c>
      <c r="B39" s="5">
        <f>0.3048*849</f>
        <v>258.77520000000004</v>
      </c>
      <c r="C39" t="s">
        <v>234</v>
      </c>
      <c r="E39" s="37" t="s">
        <v>181</v>
      </c>
      <c r="F39" s="67" t="s">
        <v>181</v>
      </c>
      <c r="G39" s="64">
        <v>0.48055555555555557</v>
      </c>
      <c r="H39" s="67" t="s">
        <v>181</v>
      </c>
      <c r="J39" s="67" t="s">
        <v>181</v>
      </c>
      <c r="K39" s="64">
        <v>0.6645833333333333</v>
      </c>
      <c r="L39" s="37" t="s">
        <v>181</v>
      </c>
      <c r="M39" s="37" t="s">
        <v>181</v>
      </c>
      <c r="N39" s="67" t="s">
        <v>181</v>
      </c>
      <c r="O39" s="18"/>
    </row>
    <row r="40" spans="1:15" ht="12.75">
      <c r="A40" s="47">
        <f>A19-A7</f>
        <v>168.3</v>
      </c>
      <c r="B40" s="5">
        <f>0.3048*402</f>
        <v>122.5296</v>
      </c>
      <c r="C40" t="s">
        <v>233</v>
      </c>
      <c r="E40" s="37" t="s">
        <v>181</v>
      </c>
      <c r="F40" s="67" t="s">
        <v>181</v>
      </c>
      <c r="G40" s="64">
        <v>0.4875</v>
      </c>
      <c r="H40" s="67" t="s">
        <v>181</v>
      </c>
      <c r="J40" s="67" t="s">
        <v>181</v>
      </c>
      <c r="K40" s="64">
        <v>0.6715277777777778</v>
      </c>
      <c r="L40" s="37" t="s">
        <v>181</v>
      </c>
      <c r="M40" s="37" t="s">
        <v>181</v>
      </c>
      <c r="N40" s="67" t="s">
        <v>181</v>
      </c>
      <c r="O40" s="18"/>
    </row>
    <row r="41" spans="1:15" ht="12.75">
      <c r="A41" s="47">
        <f>A19-A6</f>
        <v>174.10000000000002</v>
      </c>
      <c r="B41" s="5">
        <v>0</v>
      </c>
      <c r="C41" t="s">
        <v>232</v>
      </c>
      <c r="D41" t="s">
        <v>124</v>
      </c>
      <c r="E41" s="37" t="s">
        <v>181</v>
      </c>
      <c r="F41" s="67" t="s">
        <v>181</v>
      </c>
      <c r="G41" s="67" t="s">
        <v>181</v>
      </c>
      <c r="H41" s="67" t="s">
        <v>181</v>
      </c>
      <c r="J41" s="67" t="s">
        <v>181</v>
      </c>
      <c r="K41" s="67" t="s">
        <v>181</v>
      </c>
      <c r="L41" s="37" t="s">
        <v>181</v>
      </c>
      <c r="M41" s="37" t="s">
        <v>181</v>
      </c>
      <c r="N41" s="67" t="s">
        <v>181</v>
      </c>
      <c r="O41" s="18"/>
    </row>
    <row r="42" spans="1:15" ht="12.75">
      <c r="A42" s="47">
        <f>A19-A5</f>
        <v>176.83</v>
      </c>
      <c r="B42" s="5">
        <v>0</v>
      </c>
      <c r="C42" t="s">
        <v>231</v>
      </c>
      <c r="D42" t="s">
        <v>124</v>
      </c>
      <c r="E42" s="66">
        <v>0.4583333333333333</v>
      </c>
      <c r="F42" s="64">
        <v>0.47361111111111115</v>
      </c>
      <c r="G42" s="44">
        <v>0.5034722222222222</v>
      </c>
      <c r="H42" s="64">
        <v>0.6555555555555556</v>
      </c>
      <c r="J42" s="64">
        <v>0.6666666666666666</v>
      </c>
      <c r="K42" s="64">
        <v>0.6875</v>
      </c>
      <c r="L42" s="44">
        <v>0.6979166666666666</v>
      </c>
      <c r="M42" s="65">
        <v>0.7291666666666666</v>
      </c>
      <c r="N42" s="64">
        <v>0.8013888888888889</v>
      </c>
      <c r="O42" s="18"/>
    </row>
    <row r="43" spans="3:14" ht="12.75">
      <c r="C43" t="s">
        <v>249</v>
      </c>
      <c r="E43" s="18"/>
      <c r="F43" s="18"/>
      <c r="G43" s="18"/>
      <c r="H43" s="18"/>
      <c r="I43" s="18"/>
      <c r="J43" s="18"/>
      <c r="K43" s="18"/>
      <c r="M43" s="18"/>
      <c r="N43" s="18"/>
    </row>
    <row r="44" spans="3:15" ht="12.75">
      <c r="C44" t="s">
        <v>244</v>
      </c>
      <c r="H44" s="37"/>
      <c r="O44" s="37"/>
    </row>
    <row r="45" spans="3:15" ht="12.75">
      <c r="C45" t="s">
        <v>245</v>
      </c>
      <c r="F45" s="37"/>
      <c r="G45" s="37"/>
      <c r="H45" s="37"/>
      <c r="I45" s="37"/>
      <c r="J45" s="37"/>
      <c r="K45" s="37"/>
      <c r="L45" s="37"/>
      <c r="M45" s="37"/>
      <c r="N45" s="37"/>
      <c r="O45" s="37"/>
    </row>
    <row r="46" spans="6:15" ht="12.75">
      <c r="F46" s="18"/>
      <c r="G46" s="18"/>
      <c r="H46" s="18"/>
      <c r="J46" s="18"/>
      <c r="K46" s="18"/>
      <c r="L46" s="18"/>
      <c r="M46" s="18"/>
      <c r="N46" s="18"/>
      <c r="O46" s="37"/>
    </row>
    <row r="47" spans="6:14" ht="12.75">
      <c r="F47" s="37"/>
      <c r="G47" s="37"/>
      <c r="H47" s="37"/>
      <c r="I47" s="63"/>
      <c r="J47" s="63"/>
      <c r="K47" s="37"/>
      <c r="L47" s="37"/>
      <c r="M47" s="63"/>
      <c r="N47" s="63"/>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2574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3_toc</dc:title>
  <dc:subject/>
  <dc:creator/>
  <cp:keywords/>
  <dc:description/>
  <cp:lastModifiedBy/>
  <dcterms:created xsi:type="dcterms:W3CDTF">2012-08-13T05:47:40Z</dcterms:created>
  <dcterms:modified xsi:type="dcterms:W3CDTF">2015-01-24T17:53:47Z</dcterms:modified>
  <cp:category/>
  <cp:version/>
  <cp:contentType/>
  <cp:contentStatus/>
  <cp:revision>43</cp:revision>
</cp:coreProperties>
</file>